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vicgov-my.sharepoint.com/personal/jamie_jacob_opv_vic_gov_au/Documents/Escalation/budget template 2025-26 - 10-Sep-2024 update/"/>
    </mc:Choice>
  </mc:AlternateContent>
  <xr:revisionPtr revIDLastSave="0" documentId="8_{695C9575-28E1-4463-9E16-7552AD7B9D33}" xr6:coauthVersionLast="47" xr6:coauthVersionMax="47" xr10:uidLastSave="{00000000-0000-0000-0000-000000000000}"/>
  <bookViews>
    <workbookView xWindow="-98" yWindow="-98" windowWidth="20715" windowHeight="13276" activeTab="1" xr2:uid="{641A6697-F308-48A6-8915-494357693AB0}"/>
  </bookViews>
  <sheets>
    <sheet name="Template Guidance" sheetId="24" r:id="rId1"/>
    <sheet name="Escalation Template" sheetId="28" r:id="rId2"/>
    <sheet name="Lists" sheetId="2" state="hidden" r:id="rId3"/>
    <sheet name="Years" sheetId="11" state="hidden" r:id="rId4"/>
    <sheet name="Underlying Data &gt;&gt;" sheetId="27" state="hidden" r:id="rId5"/>
    <sheet name="L75 forecasts" sheetId="10" state="hidden" r:id="rId6"/>
    <sheet name="Recommended scenario forecasts" sheetId="4" state="hidden" r:id="rId7"/>
    <sheet name="U75 forecasts" sheetId="9" state="hidden" r:id="rId8"/>
  </sheets>
  <externalReferences>
    <externalReference r:id="rId9"/>
  </externalReferences>
  <definedNames>
    <definedName name="Future_EBA">[1]Assumptions!$G$12</definedName>
    <definedName name="labour_shortage_proportion">'[1]Report Output - CAGR'!$F$16</definedName>
    <definedName name="labour_shortage_rate">[1]Assumptions!$G$14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8" l="1" a="1"/>
  <c r="E19" i="28" s="1"/>
  <c r="E18" i="28" l="1" a="1"/>
  <c r="E18" i="28" s="1"/>
  <c r="A32" i="28" l="1"/>
  <c r="B18" i="24"/>
  <c r="C20" i="28"/>
  <c r="A33" i="28" s="1"/>
  <c r="C10" i="28"/>
  <c r="O7" i="28"/>
  <c r="C21" i="28" s="1"/>
  <c r="C7" i="28" l="1"/>
  <c r="C8" i="28"/>
  <c r="D4" i="28" l="1"/>
  <c r="A21" i="24"/>
  <c r="B1" i="11" l="1"/>
  <c r="E45" i="28"/>
  <c r="F42" i="28"/>
  <c r="F43" i="28" s="1"/>
  <c r="B18" i="28"/>
  <c r="C18" i="28" s="1"/>
  <c r="A30" i="28" l="1"/>
  <c r="A29" i="28"/>
  <c r="A34" i="28"/>
  <c r="B22" i="28"/>
  <c r="B26" i="28"/>
  <c r="B27" i="28"/>
  <c r="F44" i="28"/>
  <c r="F45" i="28" s="1"/>
  <c r="F108" i="9" l="1"/>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B4" i="11" l="1"/>
  <c r="B2" i="11"/>
  <c r="C1" i="11"/>
  <c r="B5" i="11" l="1"/>
  <c r="E8" i="28" a="1"/>
  <c r="E8" i="28" s="1"/>
  <c r="C4" i="11"/>
  <c r="C2" i="11"/>
  <c r="D1" i="11"/>
  <c r="E6" i="28" l="1"/>
  <c r="C5" i="11"/>
  <c r="F8" i="28" a="1"/>
  <c r="F8" i="28" s="1"/>
  <c r="E11" i="28"/>
  <c r="E22" i="28"/>
  <c r="E23" i="28"/>
  <c r="E1" i="11"/>
  <c r="D2" i="11"/>
  <c r="D4" i="11"/>
  <c r="E14" i="28" l="1"/>
  <c r="F6" i="28"/>
  <c r="F14" i="28" s="1"/>
  <c r="F18" i="28" s="1" a="1"/>
  <c r="F18" i="28" s="1"/>
  <c r="F22" i="28"/>
  <c r="D5" i="11"/>
  <c r="G8" i="28" a="1"/>
  <c r="G8" i="28" s="1"/>
  <c r="E24" i="28"/>
  <c r="E12" i="28"/>
  <c r="F23" i="28"/>
  <c r="E20" i="28" a="1"/>
  <c r="E20" i="28" s="1"/>
  <c r="E4" i="11"/>
  <c r="F1" i="11"/>
  <c r="E2" i="11"/>
  <c r="F19" i="28" l="1" a="1"/>
  <c r="F19" i="28" s="1"/>
  <c r="F20" i="28" a="1"/>
  <c r="F20" i="28" s="1"/>
  <c r="G6" i="28"/>
  <c r="G14" i="28" s="1"/>
  <c r="G20" i="28" s="1" a="1"/>
  <c r="G20" i="28" s="1"/>
  <c r="E5" i="11"/>
  <c r="H8" i="28" a="1"/>
  <c r="H8" i="28" s="1"/>
  <c r="G22" i="28"/>
  <c r="G23" i="28"/>
  <c r="G1" i="11"/>
  <c r="F2" i="11"/>
  <c r="F4" i="11"/>
  <c r="H22" i="28" l="1"/>
  <c r="F21" i="28"/>
  <c r="F11" i="28" s="1"/>
  <c r="F12" i="28" s="1"/>
  <c r="H6" i="28"/>
  <c r="G18" i="28" a="1"/>
  <c r="G18" i="28" s="1"/>
  <c r="G19" i="28" a="1"/>
  <c r="G19" i="28" s="1"/>
  <c r="F5" i="11"/>
  <c r="I8" i="28" a="1"/>
  <c r="I8" i="28" s="1"/>
  <c r="H23" i="28"/>
  <c r="H1" i="11"/>
  <c r="G2" i="11"/>
  <c r="G4" i="11"/>
  <c r="G21" i="28" l="1"/>
  <c r="G11" i="28" s="1"/>
  <c r="G12" i="28" s="1"/>
  <c r="H14" i="28"/>
  <c r="H18" i="28" s="1" a="1"/>
  <c r="H18" i="28" s="1"/>
  <c r="H19" i="28" a="1"/>
  <c r="H19" i="28" s="1"/>
  <c r="H20" i="28" a="1"/>
  <c r="H20" i="28" s="1"/>
  <c r="F24" i="28"/>
  <c r="I6" i="28"/>
  <c r="I23" i="28"/>
  <c r="G5" i="11"/>
  <c r="J8" i="28" a="1"/>
  <c r="J8" i="28" s="1"/>
  <c r="I22" i="28"/>
  <c r="H4" i="11"/>
  <c r="I1" i="11"/>
  <c r="H2" i="11"/>
  <c r="G24" i="28" l="1"/>
  <c r="H21" i="28"/>
  <c r="H11" i="28" s="1"/>
  <c r="H24" i="28" s="1"/>
  <c r="I14" i="28"/>
  <c r="I18" i="28" s="1" a="1"/>
  <c r="I18" i="28" s="1"/>
  <c r="J6" i="28"/>
  <c r="J14" i="28" s="1"/>
  <c r="J19" i="28" s="1" a="1"/>
  <c r="J19" i="28" s="1"/>
  <c r="H5" i="11"/>
  <c r="K8" i="28" a="1"/>
  <c r="K8" i="28" s="1"/>
  <c r="J23" i="28"/>
  <c r="J22" i="28"/>
  <c r="I2" i="11"/>
  <c r="I4" i="11"/>
  <c r="J1" i="11"/>
  <c r="H12" i="28" l="1"/>
  <c r="I20" i="28" a="1"/>
  <c r="I20" i="28" s="1"/>
  <c r="I19" i="28" a="1"/>
  <c r="I19" i="28" s="1"/>
  <c r="J20" i="28" a="1"/>
  <c r="J20" i="28" s="1"/>
  <c r="J18" i="28" a="1"/>
  <c r="J18" i="28" s="1"/>
  <c r="K6" i="28"/>
  <c r="K14" i="28" s="1"/>
  <c r="K18" i="28" s="1" a="1"/>
  <c r="K18" i="28" s="1"/>
  <c r="I5" i="11"/>
  <c r="L8" i="28" a="1"/>
  <c r="L8" i="28" s="1"/>
  <c r="K23" i="28"/>
  <c r="K22" i="28"/>
  <c r="J2" i="11"/>
  <c r="J4" i="11"/>
  <c r="K1" i="11"/>
  <c r="I21" i="28" l="1"/>
  <c r="J21" i="28" s="1"/>
  <c r="J11" i="28" s="1"/>
  <c r="J12" i="28" s="1"/>
  <c r="K20" i="28" a="1"/>
  <c r="K20" i="28" s="1"/>
  <c r="K19" i="28" a="1"/>
  <c r="K19" i="28" s="1"/>
  <c r="L6" i="28"/>
  <c r="L14" i="28" s="1"/>
  <c r="L18" i="28" s="1" a="1"/>
  <c r="L18" i="28" s="1"/>
  <c r="J5" i="11"/>
  <c r="M8" i="28" a="1"/>
  <c r="M8" i="28" s="1"/>
  <c r="L23" i="28"/>
  <c r="L22" i="28"/>
  <c r="K4" i="11"/>
  <c r="L1" i="11"/>
  <c r="K2" i="11"/>
  <c r="K21" i="28" l="1"/>
  <c r="K11" i="28" s="1"/>
  <c r="K12" i="28" s="1"/>
  <c r="J24" i="28"/>
  <c r="I11" i="28"/>
  <c r="I24" i="28" s="1"/>
  <c r="L20" i="28" a="1"/>
  <c r="L20" i="28" s="1"/>
  <c r="L19" i="28" a="1"/>
  <c r="L19" i="28" s="1"/>
  <c r="M6" i="28"/>
  <c r="M14" i="28" s="1"/>
  <c r="M19" i="28" s="1" a="1"/>
  <c r="M19" i="28" s="1"/>
  <c r="K5" i="11"/>
  <c r="N8" i="28" a="1"/>
  <c r="N8" i="28" s="1"/>
  <c r="M23" i="28"/>
  <c r="M22" i="28"/>
  <c r="M1" i="11"/>
  <c r="L4" i="11"/>
  <c r="L5" i="11" s="1"/>
  <c r="L2" i="11"/>
  <c r="L21" i="28" l="1"/>
  <c r="L11" i="28" s="1"/>
  <c r="L12" i="28" s="1"/>
  <c r="K24" i="28"/>
  <c r="I12" i="28"/>
  <c r="O8" i="28"/>
  <c r="O5" i="28" s="1" a="1"/>
  <c r="O5" i="28" s="1"/>
  <c r="M20" i="28" a="1"/>
  <c r="M20" i="28" s="1"/>
  <c r="M18" i="28" a="1"/>
  <c r="M18" i="28" s="1"/>
  <c r="N6" i="28"/>
  <c r="N23" i="28"/>
  <c r="N22" i="28"/>
  <c r="M4" i="11"/>
  <c r="M5" i="11" s="1"/>
  <c r="N1" i="11"/>
  <c r="M2" i="11"/>
  <c r="M21" i="28" l="1"/>
  <c r="M11" i="28" s="1"/>
  <c r="L24" i="28"/>
  <c r="O15" i="28" a="1"/>
  <c r="O15" i="28" s="1"/>
  <c r="C15" i="28" s="1" a="1"/>
  <c r="C15" i="28" s="1"/>
  <c r="A31" i="28" s="1"/>
  <c r="O14" i="28" a="1"/>
  <c r="O14" i="28" s="1"/>
  <c r="O6" i="28" a="1"/>
  <c r="O6" i="28" s="1"/>
  <c r="N14" i="28"/>
  <c r="N18" i="28" s="1" a="1"/>
  <c r="N18" i="28" s="1"/>
  <c r="O18" i="28" s="1" a="1"/>
  <c r="O18" i="28" s="1"/>
  <c r="O1" i="11"/>
  <c r="P1" i="11" s="1"/>
  <c r="N2" i="11"/>
  <c r="N4" i="11"/>
  <c r="N5" i="11" s="1"/>
  <c r="E16" i="28" l="1"/>
  <c r="F16" i="28" s="1"/>
  <c r="G16" i="28" s="1"/>
  <c r="H16" i="28" s="1"/>
  <c r="I16" i="28" s="1"/>
  <c r="J16" i="28" s="1"/>
  <c r="K16" i="28" s="1"/>
  <c r="L16" i="28" s="1"/>
  <c r="M16" i="28" s="1"/>
  <c r="N16" i="28" s="1"/>
  <c r="N9" i="28" s="1"/>
  <c r="N10" i="28" s="1"/>
  <c r="B28" i="28"/>
  <c r="N20" i="28" a="1"/>
  <c r="N20" i="28" s="1"/>
  <c r="O20" i="28" s="1" a="1"/>
  <c r="O20" i="28" s="1"/>
  <c r="N19" i="28" a="1"/>
  <c r="N19" i="28" s="1"/>
  <c r="O19" i="28" s="1" a="1"/>
  <c r="O19" i="28" s="1"/>
  <c r="M24" i="28"/>
  <c r="M12" i="28"/>
  <c r="Q1" i="11"/>
  <c r="P4" i="11"/>
  <c r="P5" i="11" s="1"/>
  <c r="P2" i="11"/>
  <c r="O2" i="11"/>
  <c r="O4" i="11"/>
  <c r="O5" i="11" s="1"/>
  <c r="E9" i="28" l="1"/>
  <c r="E10" i="28" s="1"/>
  <c r="F9" i="28"/>
  <c r="F10" i="28" s="1"/>
  <c r="G9" i="28"/>
  <c r="G10" i="28" s="1"/>
  <c r="M9" i="28"/>
  <c r="M10" i="28" s="1"/>
  <c r="H9" i="28"/>
  <c r="H10" i="28" s="1"/>
  <c r="J9" i="28"/>
  <c r="J10" i="28" s="1"/>
  <c r="I9" i="28"/>
  <c r="I10" i="28" s="1"/>
  <c r="K9" i="28"/>
  <c r="K10" i="28" s="1"/>
  <c r="L9" i="28"/>
  <c r="L10" i="28" s="1"/>
  <c r="N21" i="28"/>
  <c r="N11" i="28" s="1"/>
  <c r="N24" i="28" s="1"/>
  <c r="Q4" i="11"/>
  <c r="Q5" i="11" s="1"/>
  <c r="Q2" i="11"/>
  <c r="R1" i="11"/>
  <c r="O9" i="28" l="1"/>
  <c r="B12" i="28" s="1"/>
  <c r="B14" i="28" s="1"/>
  <c r="B17" i="28" s="1"/>
  <c r="O11" i="28"/>
  <c r="B11" i="28" s="1"/>
  <c r="B13" i="28" s="1"/>
  <c r="B16" i="28" s="1"/>
  <c r="N12" i="28"/>
  <c r="O12" i="28" s="1"/>
  <c r="R4" i="11"/>
  <c r="R5" i="11" s="1"/>
  <c r="R2" i="11"/>
  <c r="S1" i="11"/>
  <c r="O10" i="28" l="1"/>
  <c r="S4" i="11"/>
  <c r="S5" i="11" s="1"/>
  <c r="S2" i="11"/>
  <c r="T1" i="11"/>
  <c r="T4" i="11" l="1"/>
  <c r="T5" i="11" s="1"/>
  <c r="T2" i="11"/>
  <c r="U1" i="11"/>
  <c r="U4" i="11" l="1"/>
  <c r="U5" i="11" s="1"/>
  <c r="V1" i="11"/>
  <c r="U2" i="11"/>
  <c r="V2" i="11" l="1"/>
  <c r="V4" i="11"/>
  <c r="V5" i="11" s="1"/>
  <c r="F108" i="4" l="1"/>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<sst xmlns="http://schemas.openxmlformats.org/spreadsheetml/2006/main" count="1502" uniqueCount="221">
  <si>
    <t>Name</t>
  </si>
  <si>
    <t>Partial Comparison</t>
  </si>
  <si>
    <t>Escalation by FY ($)</t>
  </si>
  <si>
    <t>Confidence</t>
  </si>
  <si>
    <t>Medium Confidence</t>
  </si>
  <si>
    <t>2023-24</t>
  </si>
  <si>
    <t>2024-25</t>
  </si>
  <si>
    <t>2025-26</t>
  </si>
  <si>
    <t>2026-27</t>
  </si>
  <si>
    <t>2027-28</t>
  </si>
  <si>
    <t>2028-29</t>
  </si>
  <si>
    <t>2029-30</t>
  </si>
  <si>
    <t>2030-31</t>
  </si>
  <si>
    <t>2031-32</t>
  </si>
  <si>
    <t>2032-33</t>
  </si>
  <si>
    <t>Business Case</t>
  </si>
  <si>
    <t>Total</t>
  </si>
  <si>
    <t>U75</t>
  </si>
  <si>
    <t>L75</t>
  </si>
  <si>
    <t>Build category</t>
  </si>
  <si>
    <t>Road</t>
  </si>
  <si>
    <t>Geography</t>
  </si>
  <si>
    <t>Metro</t>
  </si>
  <si>
    <t>$500 mil-$1 bn</t>
  </si>
  <si>
    <t>Direct Comparison</t>
  </si>
  <si>
    <t>High Confidence</t>
  </si>
  <si>
    <t>Model Escalation by FY (%)</t>
  </si>
  <si>
    <t>Hospitals</t>
  </si>
  <si>
    <t>&gt;$5 bn</t>
  </si>
  <si>
    <t>Reference Years</t>
  </si>
  <si>
    <t>If Function Calcs</t>
  </si>
  <si>
    <t xml:space="preserve">NOTE: NO USER INPUT REQUIRED </t>
  </si>
  <si>
    <t>Building category group</t>
  </si>
  <si>
    <t>Building category</t>
  </si>
  <si>
    <t>Project Size</t>
  </si>
  <si>
    <t>Project type</t>
  </si>
  <si>
    <t>2010-11</t>
  </si>
  <si>
    <t>2011-12</t>
  </si>
  <si>
    <t>2012-13</t>
  </si>
  <si>
    <t>2013-14</t>
  </si>
  <si>
    <t>2014-15</t>
  </si>
  <si>
    <t>2015-16</t>
  </si>
  <si>
    <t>2016-17</t>
  </si>
  <si>
    <t>2017-18</t>
  </si>
  <si>
    <t>2018-19</t>
  </si>
  <si>
    <t>2019-20</t>
  </si>
  <si>
    <t>2020-21</t>
  </si>
  <si>
    <t>2021-22</t>
  </si>
  <si>
    <t>2022-23</t>
  </si>
  <si>
    <t>Transport</t>
  </si>
  <si>
    <t>&lt;$250 mil</t>
  </si>
  <si>
    <t>$250 mil-$500 mil</t>
  </si>
  <si>
    <t>$1 bn-$5 bn</t>
  </si>
  <si>
    <t>Regional</t>
  </si>
  <si>
    <t>Bridge</t>
  </si>
  <si>
    <t>Rail</t>
  </si>
  <si>
    <t>Tunnel</t>
  </si>
  <si>
    <t>Social infrastructure</t>
  </si>
  <si>
    <t>Justice</t>
  </si>
  <si>
    <t>Culture, sport &amp; community</t>
  </si>
  <si>
    <t>Social housing</t>
  </si>
  <si>
    <t>Schools</t>
  </si>
  <si>
    <t>Energy &amp; renewables</t>
  </si>
  <si>
    <t>Solar</t>
  </si>
  <si>
    <t>CAGR</t>
  </si>
  <si>
    <t>Cost Category</t>
  </si>
  <si>
    <t>Non-site/ White collar labour (shortage)</t>
  </si>
  <si>
    <t>Site/ Blue collar labour</t>
  </si>
  <si>
    <t>Asphalt/ Fuel Products</t>
  </si>
  <si>
    <t>Electrical components</t>
  </si>
  <si>
    <t>Electrical equipment</t>
  </si>
  <si>
    <t>Fabricated metal products</t>
  </si>
  <si>
    <t>Fuel</t>
  </si>
  <si>
    <t>Gravel, sand and aggregates</t>
  </si>
  <si>
    <t>HVAC</t>
  </si>
  <si>
    <t>Invertor</t>
  </si>
  <si>
    <t>Lifts</t>
  </si>
  <si>
    <t>Non-metallic mineral products</t>
  </si>
  <si>
    <t>Other materials</t>
  </si>
  <si>
    <t>Plant and equipment</t>
  </si>
  <si>
    <t>Plumbing products</t>
  </si>
  <si>
    <t>Polymer products</t>
  </si>
  <si>
    <t>Primary metal products</t>
  </si>
  <si>
    <t>Rails/ Steel/ Racking</t>
  </si>
  <si>
    <t>Signalling equipment/ Traffic management systems</t>
  </si>
  <si>
    <t>Solar panels</t>
  </si>
  <si>
    <t>Textile products</t>
  </si>
  <si>
    <t>Tip fees</t>
  </si>
  <si>
    <t>Wood products</t>
  </si>
  <si>
    <t>Comparison</t>
  </si>
  <si>
    <t>Material Comparison</t>
  </si>
  <si>
    <t>Low Confidence</t>
  </si>
  <si>
    <t>Social Housing</t>
  </si>
  <si>
    <t>Culture, Sport &amp; Community</t>
  </si>
  <si>
    <t>Non-site/ White collar labour (no shortage)</t>
  </si>
  <si>
    <t>Project budget expenditure profile</t>
  </si>
  <si>
    <t>S-Curve</t>
  </si>
  <si>
    <r>
      <rPr>
        <i/>
        <u/>
        <sz val="11"/>
        <color theme="1"/>
        <rFont val="VIC"/>
        <family val="3"/>
        <scheme val="minor"/>
      </rPr>
      <t>Sheet description:</t>
    </r>
    <r>
      <rPr>
        <i/>
        <sz val="11"/>
        <color theme="1"/>
        <rFont val="VIC"/>
        <family val="3"/>
        <scheme val="minor"/>
      </rPr>
      <t xml:space="preserve"> Escalation rates for each project type (using the default cost profiles and selected cost category scenarios)</t>
    </r>
  </si>
  <si>
    <t>Uniform</t>
  </si>
  <si>
    <t>Contacts</t>
  </si>
  <si>
    <t>Jamie Jacob</t>
  </si>
  <si>
    <t>jamie.jacob@opv.vic.gov.au</t>
  </si>
  <si>
    <t>Director, Data &amp; Analytics</t>
  </si>
  <si>
    <t>Underlying Data &gt;&gt;</t>
  </si>
  <si>
    <t>Purpose</t>
  </si>
  <si>
    <t>Source:</t>
  </si>
  <si>
    <r>
      <t xml:space="preserve">• </t>
    </r>
    <r>
      <rPr>
        <u/>
        <sz val="11"/>
        <color theme="1"/>
        <rFont val="VIC"/>
        <family val="3"/>
        <scheme val="minor"/>
      </rPr>
      <t>Uniform:</t>
    </r>
    <r>
      <rPr>
        <sz val="11"/>
        <color theme="1"/>
        <rFont val="VIC"/>
        <family val="3"/>
        <scheme val="minor"/>
      </rPr>
      <t xml:space="preserve"> Project budget (excluding escalation) is evenly split over duration of project.</t>
    </r>
  </si>
  <si>
    <t>Peak point in expenditure profile (affected only by Skew) and proportion of project budget in final year are displayed. 'Goal Seek' feature can set SD/Skew from these.</t>
  </si>
  <si>
    <t>The profile displays on the chart below the 'Model Escalation by FY (%)' table. Adjust parameters if necessary.</t>
  </si>
  <si>
    <t>Notes and Business Rules</t>
  </si>
  <si>
    <t>Escalation Source</t>
  </si>
  <si>
    <t>Chart Escalation Component Source:</t>
  </si>
  <si>
    <t>[Hidden]</t>
  </si>
  <si>
    <t>U75 forecasts</t>
  </si>
  <si>
    <t>Manual</t>
  </si>
  <si>
    <t>2. Choose project build category, geography and size in cells B6 to B8.</t>
  </si>
  <si>
    <t>See below for explanation of options.</t>
  </si>
  <si>
    <t>Key Steps</t>
  </si>
  <si>
    <t>1. Go to the 'Escalation Template' page.</t>
  </si>
  <si>
    <t>L75 forecasts</t>
  </si>
  <si>
    <t>Parameters</t>
  </si>
  <si>
    <t>Value</t>
  </si>
  <si>
    <t>Manual Project Budget Profile Buffer</t>
  </si>
  <si>
    <t>Recommended Scenario</t>
  </si>
  <si>
    <t>Project type escalation rates – L75</t>
  </si>
  <si>
    <t>Project type escalation rates – U75</t>
  </si>
  <si>
    <t>Project type escalation rates – Recommended scenario</t>
  </si>
  <si>
    <t>Recommended scenario forecasts</t>
  </si>
  <si>
    <t>IA Guidance for Typical S-Curve Spend Profile</t>
  </si>
  <si>
    <t>Project</t>
  </si>
  <si>
    <t>Duration</t>
  </si>
  <si>
    <t>Planning</t>
  </si>
  <si>
    <t>Construction</t>
  </si>
  <si>
    <t>Commissioning</t>
  </si>
  <si>
    <t>Corresponds to SD = 1.32 and Skew = 0.23 for S-Curve in escalation template.</t>
  </si>
  <si>
    <t>IA guidance is SD = 1.32 and Skew = 0.23.</t>
  </si>
  <si>
    <t>S-Curve Settings Spend Profile</t>
  </si>
  <si>
    <t>Outturned Escalation – Recommended Scenario</t>
  </si>
  <si>
    <t>The spend profile across planning, construction and commissioning under chosen settings can be found in cell D40. Compare with default IA guidance below.</t>
  </si>
  <si>
    <t>5 Year FY24-FY28</t>
  </si>
  <si>
    <t>5 Year FY29-FY33</t>
  </si>
  <si>
    <t>10 Year FY24-FY33</t>
  </si>
  <si>
    <t>Escalation Component – User Input</t>
  </si>
  <si>
    <t>User Input</t>
  </si>
  <si>
    <t>Recommended</t>
  </si>
  <si>
    <t>Outturned Escalation – User Input</t>
  </si>
  <si>
    <t>-</t>
  </si>
  <si>
    <t>Errors and Warnings</t>
  </si>
  <si>
    <t>Escalation Component – Recommended Scenario</t>
  </si>
  <si>
    <t>Annual Rate – User Input</t>
  </si>
  <si>
    <t>3. Choose end year in cell B20.</t>
  </si>
  <si>
    <t>Escalation Model – Project Type</t>
  </si>
  <si>
    <t>Build Category</t>
  </si>
  <si>
    <t>Duration (Years)</t>
  </si>
  <si>
    <t>Start Year</t>
  </si>
  <si>
    <t>5. Select the expenditure profile in cell B21. If entering an annual expenditure profile manually, select 'Manual'. Else, an S-Curve expenditure profile or a uniformly distributed expenditure profile can be selected.</t>
  </si>
  <si>
    <r>
      <t xml:space="preserve">• </t>
    </r>
    <r>
      <rPr>
        <u/>
        <sz val="11"/>
        <color theme="1"/>
        <rFont val="VIC"/>
        <family val="3"/>
        <scheme val="minor"/>
      </rPr>
      <t>Skew:</t>
    </r>
    <r>
      <rPr>
        <sz val="11"/>
        <color theme="1"/>
        <rFont val="VIC"/>
        <family val="3"/>
        <scheme val="minor"/>
      </rPr>
      <t xml:space="preserve"> Changes the skew of the profile. Default = 0.23, recommended between -1 and 1. Positive values result in higher expenditure later on. Negative values result in higher expenditure early on. Sensitive to small changes.</t>
    </r>
  </si>
  <si>
    <r>
      <t xml:space="preserve">• </t>
    </r>
    <r>
      <rPr>
        <u/>
        <sz val="11"/>
        <color theme="1"/>
        <rFont val="VIC"/>
        <family val="3"/>
        <scheme val="minor"/>
      </rPr>
      <t>Standard Deviation (SD):</t>
    </r>
    <r>
      <rPr>
        <sz val="11"/>
        <color theme="1"/>
        <rFont val="VIC"/>
        <family val="3"/>
        <scheme val="minor"/>
      </rPr>
      <t xml:space="preserve"> Changes the spread of the profile. Default = 1.32, recommended between 1 and 1.5. Must be &gt;0. Increase to flatten expenditure, decrease to narrow expenditure. Sensitive to small changes</t>
    </r>
    <r>
      <rPr>
        <sz val="11"/>
        <color theme="1"/>
        <rFont val="VIC"/>
        <family val="2"/>
        <scheme val="minor"/>
      </rPr>
      <t>.</t>
    </r>
  </si>
  <si>
    <t>Escalation $ – Recommended Scenario</t>
  </si>
  <si>
    <t>Escalation $ – User Input</t>
  </si>
  <si>
    <t>Average Value Per Year $ (Unescalated)</t>
  </si>
  <si>
    <t>Project budget is the total value of resources approved for a project by the Government based on the business case. There are three components to project budget:</t>
  </si>
  <si>
    <t>Risk, Time, Cost and Contingency Guidelines | Department of Treasury and Finance</t>
  </si>
  <si>
    <t xml:space="preserve">A cost estimate is the summation of the individual cost elements, using established methods to estimate the future costs of a project, based on what is known today. </t>
  </si>
  <si>
    <t>Accurate cost estimation and reporting is essential for effective decision making and managing expenditure within a project’s budget.</t>
  </si>
  <si>
    <t>Excess Risk Estimate (Contingency) $</t>
  </si>
  <si>
    <t>Referred to as contingency in superseded Victorian Government guidance.</t>
  </si>
  <si>
    <t>DTF guidance indicates escalation should be part of base risk estimate.</t>
  </si>
  <si>
    <r>
      <t xml:space="preserve">• </t>
    </r>
    <r>
      <rPr>
        <u/>
        <sz val="11"/>
        <color theme="1"/>
        <rFont val="VIC"/>
        <family val="3"/>
        <scheme val="minor"/>
      </rPr>
      <t>Base Cost Estimate:</t>
    </r>
    <r>
      <rPr>
        <sz val="11"/>
        <color theme="1"/>
        <rFont val="VIC"/>
        <family val="3"/>
        <scheme val="minor"/>
      </rPr>
      <t xml:space="preserve"> Forecast of the future costs of undertaking a project without allowance for contingent risks (future events that may not occur) or inherent risk (uncertainty).</t>
    </r>
  </si>
  <si>
    <r>
      <t xml:space="preserve">• </t>
    </r>
    <r>
      <rPr>
        <u/>
        <sz val="11"/>
        <color theme="1"/>
        <rFont val="VIC"/>
        <family val="3"/>
        <scheme val="minor"/>
      </rPr>
      <t>Project Risk Estimate:</t>
    </r>
    <r>
      <rPr>
        <sz val="11"/>
        <color theme="1"/>
        <rFont val="VIC"/>
        <family val="3"/>
        <scheme val="minor"/>
      </rPr>
      <t xml:space="preserve"> The State’s provision for inherent and contingent risk. It includes:</t>
    </r>
  </si>
  <si>
    <t>• Total Estimated Investment (TEI) = Base Cost Estimate + Base Risk Estimate (Incl Escalation) + Excess Risk Estimate.</t>
  </si>
  <si>
    <t>• Escalation should only be applied to base costs. It should not be applied to excess risk estimate (contingency).</t>
  </si>
  <si>
    <r>
      <t xml:space="preserve">• </t>
    </r>
    <r>
      <rPr>
        <u/>
        <sz val="11"/>
        <color theme="1"/>
        <rFont val="VIC"/>
        <family val="3"/>
        <scheme val="minor"/>
      </rPr>
      <t>Indirect Costs:</t>
    </r>
    <r>
      <rPr>
        <sz val="11"/>
        <color theme="1"/>
        <rFont val="VIC"/>
        <family val="2"/>
        <scheme val="minor"/>
      </rPr>
      <t xml:space="preserve"> Necessary costs to support project delivery, such as project management, and supervision. Indirect as they are unable to be allocated exclusively to a specific Work Breakdown Structure element.</t>
    </r>
  </si>
  <si>
    <r>
      <t xml:space="preserve">• </t>
    </r>
    <r>
      <rPr>
        <u/>
        <sz val="11"/>
        <color theme="1"/>
        <rFont val="VIC"/>
        <family val="3"/>
        <scheme val="minor"/>
      </rPr>
      <t>Direct Costs:</t>
    </r>
    <r>
      <rPr>
        <sz val="11"/>
        <color theme="1"/>
        <rFont val="VIC"/>
        <family val="2"/>
        <scheme val="minor"/>
      </rPr>
      <t xml:space="preserve"> Directly due to cost items in the schedule, including design and construction contracts, and labour (including professional services). Also include plant and equipment, and materials.</t>
    </r>
  </si>
  <si>
    <r>
      <t xml:space="preserve">• </t>
    </r>
    <r>
      <rPr>
        <u/>
        <sz val="11"/>
        <color theme="1"/>
        <rFont val="VIC"/>
        <family val="3"/>
        <scheme val="minor"/>
      </rPr>
      <t>Base Risk Estimate:</t>
    </r>
    <r>
      <rPr>
        <sz val="11"/>
        <color theme="1"/>
        <rFont val="VIC"/>
        <family val="3"/>
        <scheme val="minor"/>
      </rPr>
      <t xml:space="preserve"> The amount estimated for project risk, uncertainty, and escalation with a 50 per cent confidence level. Combined with the base cost estimate, this equals the P50.</t>
    </r>
  </si>
  <si>
    <r>
      <t xml:space="preserve">• </t>
    </r>
    <r>
      <rPr>
        <u/>
        <sz val="11"/>
        <color theme="1"/>
        <rFont val="VIC"/>
        <family val="3"/>
        <scheme val="minor"/>
      </rPr>
      <t>Escalation:</t>
    </r>
    <r>
      <rPr>
        <sz val="11"/>
        <color theme="1"/>
        <rFont val="VIC"/>
        <family val="3"/>
        <scheme val="minor"/>
      </rPr>
      <t xml:space="preserve"> Included as a component of base risk estimate to fund future cost increases resulting from inflationary factors over the life of the project. An escalation allowance is applied to the project cash flow.</t>
    </r>
  </si>
  <si>
    <r>
      <t xml:space="preserve">• </t>
    </r>
    <r>
      <rPr>
        <u/>
        <sz val="11"/>
        <color theme="1"/>
        <rFont val="VIC"/>
        <family val="3"/>
        <scheme val="minor"/>
      </rPr>
      <t>Excess Risk Estimate:</t>
    </r>
    <r>
      <rPr>
        <sz val="11"/>
        <color theme="1"/>
        <rFont val="VIC"/>
        <family val="3"/>
        <scheme val="minor"/>
      </rPr>
      <t xml:space="preserve"> Additional risk allocation above the most likely value for all costed project risks. It is a provision for the State to manage in the event that a project exceeds its project cost estimate.</t>
    </r>
  </si>
  <si>
    <t>• DTF defines TEI as the total estimated amount to deliver an ‘asset investment’ project, including the base cost estimate, the base risk estimate (expected cost of all project risks including escalation) and the excess risk estimate (an additional risk allocation (or contingency) above the base risk estimate).</t>
  </si>
  <si>
    <t>Project Cost Estimate $ Incl Recommended Escalation</t>
  </si>
  <si>
    <t>Project Cost Estimate $ Incl User Escalation</t>
  </si>
  <si>
    <t>Base Cost Estimate $ (Excluding Escalation)</t>
  </si>
  <si>
    <t>TEI $ (Project Budget Incl Excess Risk Estimate) – Recommended Scenario</t>
  </si>
  <si>
    <t>TEI $ (Project Budget Incl Excess Risk Estimate) – User Input</t>
  </si>
  <si>
    <t>Base Cost Estimate (Excl Escalation) – User Input</t>
  </si>
  <si>
    <t>Base Cost Estimate (Excl Escalation)</t>
  </si>
  <si>
    <t>Project Cost Estimate – User Input</t>
  </si>
  <si>
    <t>Project Cost Estimate – Recommended Scenario</t>
  </si>
  <si>
    <t>4. Enter the total base cost estimate (excluding escalation) in cell B10. If an annual expenditure profile is available, enter the values in cells E7 to N7.</t>
  </si>
  <si>
    <r>
      <t xml:space="preserve">• </t>
    </r>
    <r>
      <rPr>
        <u/>
        <sz val="11"/>
        <color theme="1"/>
        <rFont val="VIC"/>
        <family val="3"/>
        <scheme val="minor"/>
      </rPr>
      <t>Manual:</t>
    </r>
    <r>
      <rPr>
        <sz val="11"/>
        <color theme="1"/>
        <rFont val="VIC"/>
        <family val="3"/>
        <scheme val="minor"/>
      </rPr>
      <t xml:space="preserve"> Total base cost estimate (excluding escalation) is split according to manually provided annual expenditure profile in cells E7 to N7.</t>
    </r>
  </si>
  <si>
    <r>
      <t xml:space="preserve">• </t>
    </r>
    <r>
      <rPr>
        <u/>
        <sz val="11"/>
        <color theme="1"/>
        <rFont val="VIC"/>
        <family val="3"/>
        <scheme val="minor"/>
      </rPr>
      <t>S-Curve:</t>
    </r>
    <r>
      <rPr>
        <sz val="11"/>
        <color theme="1"/>
        <rFont val="VIC"/>
        <family val="3"/>
        <scheme val="minor"/>
      </rPr>
      <t xml:space="preserve"> Base cost estimate (excluding escalation) profile follows a bell curve distribution.</t>
    </r>
  </si>
  <si>
    <t>Base Cost Estimate Expenditure Profile</t>
  </si>
  <si>
    <t>Base Cost Estimate Expenditure Profile Options (cell B21)</t>
  </si>
  <si>
    <t>All user input cells are coloured Grey.</t>
  </si>
  <si>
    <t>Skew (change to skew profile, IA guidance = 0.23)</t>
  </si>
  <si>
    <t>Peak Point in Profile (only affected by Skew)</t>
  </si>
  <si>
    <t>Proportion of Budget in Final Year</t>
  </si>
  <si>
    <t>Standard Deviation (change to flatten or narrow profile, IA guidance = 1.32)</t>
  </si>
  <si>
    <t>8. Errors and warnings appear in column C and are explained below cell A28.</t>
  </si>
  <si>
    <t>Years in Escalation Table</t>
  </si>
  <si>
    <t>End Year (For S-Curve and Uniform Profiles)</t>
  </si>
  <si>
    <t>S-Curve Profile Adjustments (If Required)</t>
  </si>
  <si>
    <t>If entering annual expenditure manually, cell O7 indicates whether the amounts add up correctly to the total in cell B10.</t>
  </si>
  <si>
    <t>Infrastructure Escalation Budget Template</t>
  </si>
  <si>
    <t>Use only as a guide. Cumulative project budget curve does not include escalation component.</t>
  </si>
  <si>
    <t>Version Control</t>
  </si>
  <si>
    <t>Version</t>
  </si>
  <si>
    <t>Date</t>
  </si>
  <si>
    <t>Description</t>
  </si>
  <si>
    <t>This drives the S-Curve and uniform expenditure profile calculations.</t>
  </si>
  <si>
    <t>DTF – Data &amp; Analytics Team</t>
  </si>
  <si>
    <t>6. DTF's recommended escalation rates are provided in cells E19 to N19. If you wish to use escalation rates outside of the DTF recommended scenario, enter values in grey cells in E15 to N15. These can be taken from different scenarios in the DTF Cost Escalation Model, be simple flat CAGRs, etc.</t>
  </si>
  <si>
    <t>The DTF U75 and L75 scenarios can also be input here in cells E16 to N16 – paste as values.</t>
  </si>
  <si>
    <t>Speak to DTF (contacts provided above) for technical questions regarding this advice, its underlying inputs and other functionality.</t>
  </si>
  <si>
    <t>7. Once all parameters are entered, annual escalation is provided in cells E11 to N11 using DTF recommended rates and cells E9 to N9 for the user input scenario. Overall estimated escalation for the project is provided in cell B11 for the recommended scenario and cell B12 for the user input scenario.</t>
  </si>
  <si>
    <t>Scenarios – DTF Projections</t>
  </si>
  <si>
    <t>andrew.tarrant@dtf.vic.gov.au</t>
  </si>
  <si>
    <t>Senior Analyst, Data &amp; Analytics</t>
  </si>
  <si>
    <t>First iteration including manual, S-curve and uniform expenditure profiles. Includes ability to use DTF recommended scenario and user input escalation rates. DTF forecasts use 2024 Q2 ABS indices.</t>
  </si>
  <si>
    <t>1.1</t>
  </si>
  <si>
    <t>• The DTF U75 and L75 escalation scenarios are calculated by setting all non-labour cost categories to the U75 and L75 percentiles in the DTF Cost Escalation Model. Assumptions on labour remain the same. Agencies may consider a similar process to input DTF U95 and L95 escalation scenarios using the alternative escalation rates approach in step 6 above.</t>
  </si>
  <si>
    <t>Andrew Tarrant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</si>
</sst>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0.0%"/>
    <numFmt numFmtId="165" formatCode="0.00000000%"/>
    <numFmt numFmtId="166" formatCode="&quot;Year&quot;\ #\ &quot;Month&quot;\ #/12"/>
    <numFmt numFmtId="167" formatCode="0.0%;\(0.0%\)"/>
  </numFmts>
  <fonts count="35" x14ac:knownFonts="1">
    <font>
      <sz val="11"/>
      <color theme="1"/>
      <name val="VIC"/>
      <family val="2"/>
      <scheme val="minor"/>
    </font>
    <font>
      <sz val="11"/>
      <color theme="1"/>
      <name val="VIC"/>
      <family val="2"/>
      <scheme val="minor"/>
    </font>
    <font>
      <sz val="10"/>
      <color theme="1"/>
      <name val="Arial"/>
      <family val="2"/>
    </font>
    <font>
      <sz val="10"/>
      <color theme="1"/>
      <name val="VIC"/>
      <family val="2"/>
      <scheme val="minor"/>
    </font>
    <font>
      <sz val="11"/>
      <color theme="1"/>
      <name val="VIC"/>
      <family val="3"/>
      <scheme val="minor"/>
    </font>
    <font>
      <sz val="9"/>
      <color theme="1"/>
      <name val="VIC"/>
      <family val="3"/>
      <scheme val="minor"/>
    </font>
    <font>
      <b/>
      <sz val="9"/>
      <color theme="1"/>
      <name val="VIC"/>
      <family val="3"/>
      <scheme val="minor"/>
    </font>
    <font>
      <i/>
      <sz val="9"/>
      <color theme="1"/>
      <name val="VIC"/>
      <family val="3"/>
      <scheme val="minor"/>
    </font>
    <font>
      <sz val="9"/>
      <color theme="0"/>
      <name val="VIC"/>
      <family val="3"/>
      <scheme val="minor"/>
    </font>
    <font>
      <i/>
      <sz val="11"/>
      <color theme="1"/>
      <name val="VIC"/>
      <family val="3"/>
      <scheme val="minor"/>
    </font>
    <font>
      <i/>
      <u/>
      <sz val="11"/>
      <color theme="1"/>
      <name val="VIC"/>
      <family val="3"/>
      <scheme val="minor"/>
    </font>
    <font>
      <sz val="11"/>
      <color rgb="FFFF0000"/>
      <name val="VIC"/>
      <family val="3"/>
      <scheme val="minor"/>
    </font>
    <font>
      <b/>
      <sz val="10"/>
      <color indexed="10"/>
      <name val="VIC"/>
      <family val="3"/>
      <scheme val="minor"/>
    </font>
    <font>
      <sz val="11"/>
      <name val="VIC"/>
      <family val="3"/>
      <scheme val="minor"/>
    </font>
    <font>
      <b/>
      <sz val="11"/>
      <color theme="0"/>
      <name val="VIC SemiBold"/>
      <family val="3"/>
      <scheme val="major"/>
    </font>
    <font>
      <b/>
      <sz val="11"/>
      <color theme="1"/>
      <name val="VIC SemiBold"/>
      <family val="3"/>
      <scheme val="major"/>
    </font>
    <font>
      <sz val="11"/>
      <color theme="1"/>
      <name val="VIC SemiBold"/>
      <family val="3"/>
      <scheme val="major"/>
    </font>
    <font>
      <sz val="11"/>
      <name val="VIC SemiBold"/>
      <family val="3"/>
      <scheme val="major"/>
    </font>
    <font>
      <u/>
      <sz val="11"/>
      <color theme="10"/>
      <name val="VIC"/>
      <family val="2"/>
      <scheme val="minor"/>
    </font>
    <font>
      <b/>
      <sz val="9"/>
      <color theme="0"/>
      <name val="VIC SemiBold"/>
      <family val="3"/>
      <scheme val="major"/>
    </font>
    <font>
      <b/>
      <sz val="9"/>
      <color theme="1"/>
      <name val="VIC SemiBold"/>
      <family val="3"/>
      <scheme val="major"/>
    </font>
    <font>
      <b/>
      <sz val="14"/>
      <color theme="0"/>
      <name val="VIC SemiBold"/>
      <family val="3"/>
      <scheme val="major"/>
    </font>
    <font>
      <sz val="12"/>
      <color indexed="9"/>
      <name val="VIC SemiBold"/>
      <family val="3"/>
      <scheme val="major"/>
    </font>
    <font>
      <i/>
      <sz val="11"/>
      <color theme="1"/>
      <name val="VIC SemiBold"/>
      <family val="3"/>
      <scheme val="major"/>
    </font>
    <font>
      <sz val="11"/>
      <color theme="0"/>
      <name val="VIC SemiBold"/>
      <family val="3"/>
      <scheme val="major"/>
    </font>
    <font>
      <u/>
      <sz val="11"/>
      <color theme="1"/>
      <name val="VIC"/>
      <family val="3"/>
      <scheme val="minor"/>
    </font>
    <font>
      <b/>
      <sz val="9"/>
      <color theme="4"/>
      <name val="VIC SemiBold"/>
      <family val="3"/>
      <scheme val="major"/>
    </font>
    <font>
      <sz val="14"/>
      <color theme="1"/>
      <name val="VIC SemiBold"/>
      <family val="3"/>
      <scheme val="major"/>
    </font>
    <font>
      <i/>
      <u/>
      <sz val="11"/>
      <color theme="10"/>
      <name val="VIC"/>
      <family val="3"/>
      <scheme val="minor"/>
    </font>
    <font>
      <sz val="11"/>
      <color rgb="FF9C0006"/>
      <name val="VIC"/>
      <family val="2"/>
      <scheme val="minor"/>
    </font>
    <font>
      <sz val="9"/>
      <color theme="1"/>
      <name val="VIC SemiBold"/>
      <family val="3"/>
      <scheme val="major"/>
    </font>
    <font>
      <sz val="9"/>
      <color theme="1"/>
      <name val="VIC"/>
      <family val="2"/>
      <scheme val="minor"/>
    </font>
    <font>
      <u/>
      <sz val="9"/>
      <color theme="1"/>
      <name val="VIC"/>
      <family val="3"/>
      <scheme val="minor"/>
    </font>
    <font>
      <sz val="11"/>
      <color rgb="FF9C0006"/>
      <name val="VIC SemiBold"/>
      <family val="3"/>
      <scheme val="major"/>
    </font>
    <font>
      <u/>
      <sz val="11"/>
      <color theme="1"/>
      <name val="VIC"/>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3"/>
        <bgColor indexed="64"/>
      </patternFill>
    </fill>
    <fill>
      <patternFill patternType="solid">
        <fgColor theme="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0" tint="-0.14999847407452621"/>
        <bgColor indexed="64"/>
      </patternFill>
    </fill>
    <fill>
      <patternFill patternType="solid">
        <fgColor rgb="FFFFC7CE"/>
      </patternFill>
    </fill>
    <fill>
      <patternFill patternType="solid">
        <fgColor theme="9" tint="0.59999389629810485"/>
        <bgColor indexed="64"/>
      </patternFill>
    </fill>
  </fills>
  <borders count="17">
    <border>
      <left/>
      <right/>
      <top/>
      <bottom/>
      <diagonal/>
    </border>
    <border>
      <left style="thick">
        <color theme="9" tint="0.59999389629810485"/>
      </left>
      <right style="thick">
        <color theme="9" tint="0.59999389629810485"/>
      </right>
      <top style="thick">
        <color theme="9" tint="0.59999389629810485"/>
      </top>
      <bottom style="thick">
        <color theme="9" tint="0.59999389629810485"/>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1" fillId="0" borderId="0"/>
    <xf numFmtId="0" fontId="18" fillId="0" borderId="0" applyNumberFormat="0" applyFill="0" applyBorder="0" applyAlignment="0" applyProtection="0"/>
    <xf numFmtId="0" fontId="29" fillId="15" borderId="0" applyNumberFormat="0" applyBorder="0" applyAlignment="0" applyProtection="0"/>
  </cellStyleXfs>
  <cellXfs count="174">
    <xf numFmtId="0" fontId="0" fillId="0" borderId="0" xfId="0"/>
    <xf numFmtId="0" fontId="4" fillId="0" borderId="0" xfId="0" applyFont="1"/>
    <xf numFmtId="0" fontId="9" fillId="0" borderId="0" xfId="0" applyFont="1"/>
    <xf numFmtId="0" fontId="11" fillId="0" borderId="0" xfId="0" applyFont="1"/>
    <xf numFmtId="0" fontId="12" fillId="0" borderId="0" xfId="0" applyFont="1"/>
    <xf numFmtId="0" fontId="4" fillId="0" borderId="0" xfId="0" applyFont="1" applyAlignment="1">
      <alignment horizontal="left"/>
    </xf>
    <xf numFmtId="0" fontId="4" fillId="0" borderId="0" xfId="1" applyNumberFormat="1" applyFont="1"/>
    <xf numFmtId="0" fontId="16" fillId="0" borderId="0" xfId="0" applyFont="1"/>
    <xf numFmtId="0" fontId="21" fillId="6" borderId="0" xfId="0" applyFont="1" applyFill="1"/>
    <xf numFmtId="0" fontId="22" fillId="7" borderId="0" xfId="3" applyFont="1" applyFill="1"/>
    <xf numFmtId="0" fontId="22" fillId="7" borderId="0" xfId="3" applyFont="1" applyFill="1" applyAlignment="1">
      <alignment horizontal="center"/>
    </xf>
    <xf numFmtId="0" fontId="16" fillId="6" borderId="0" xfId="0" applyFont="1" applyFill="1"/>
    <xf numFmtId="0" fontId="23" fillId="0" borderId="0" xfId="0" applyFont="1"/>
    <xf numFmtId="0" fontId="17" fillId="0" borderId="0" xfId="0" quotePrefix="1" applyFont="1" applyAlignment="1">
      <alignment horizontal="left" vertical="top"/>
    </xf>
    <xf numFmtId="0" fontId="17" fillId="0" borderId="0" xfId="0" applyFont="1" applyAlignment="1">
      <alignment horizontal="left" vertical="top"/>
    </xf>
    <xf numFmtId="0" fontId="13" fillId="0" borderId="0" xfId="0" quotePrefix="1" applyFont="1" applyAlignment="1">
      <alignment horizontal="left" vertical="top"/>
    </xf>
    <xf numFmtId="0" fontId="18" fillId="0" borderId="0" xfId="6"/>
    <xf numFmtId="0" fontId="15" fillId="0" borderId="0" xfId="0" applyFont="1"/>
    <xf numFmtId="0" fontId="4" fillId="0" borderId="0" xfId="0" applyFont="1" applyAlignment="1">
      <alignment horizontal="left" vertical="top" wrapText="1"/>
    </xf>
    <xf numFmtId="0" fontId="27" fillId="8" borderId="0" xfId="0" applyFont="1" applyFill="1"/>
    <xf numFmtId="0" fontId="0" fillId="12" borderId="0" xfId="0" applyFill="1"/>
    <xf numFmtId="0" fontId="18" fillId="4" borderId="0" xfId="6" applyFill="1"/>
    <xf numFmtId="0" fontId="0" fillId="4" borderId="0" xfId="0" applyFill="1"/>
    <xf numFmtId="0" fontId="27" fillId="11" borderId="0" xfId="0" applyFont="1" applyFill="1"/>
    <xf numFmtId="0" fontId="4" fillId="11" borderId="0" xfId="0" applyFont="1" applyFill="1"/>
    <xf numFmtId="0" fontId="18" fillId="8" borderId="0" xfId="6" applyFill="1"/>
    <xf numFmtId="0" fontId="0" fillId="14" borderId="0" xfId="0" applyFill="1"/>
    <xf numFmtId="0" fontId="0" fillId="14" borderId="0" xfId="0" applyFill="1" applyAlignment="1">
      <alignment wrapText="1"/>
    </xf>
    <xf numFmtId="0" fontId="0" fillId="0" borderId="0" xfId="0" applyAlignment="1">
      <alignment horizontal="left" indent="2"/>
    </xf>
    <xf numFmtId="0" fontId="28" fillId="14" borderId="0" xfId="6" applyFont="1" applyFill="1"/>
    <xf numFmtId="0" fontId="9" fillId="14" borderId="0" xfId="0" applyFont="1" applyFill="1"/>
    <xf numFmtId="0" fontId="0" fillId="12" borderId="0" xfId="0" applyFill="1" applyAlignment="1">
      <alignment wrapText="1"/>
    </xf>
    <xf numFmtId="0" fontId="9" fillId="12" borderId="0" xfId="0" applyFont="1" applyFill="1"/>
    <xf numFmtId="0" fontId="0" fillId="8" borderId="0" xfId="0" applyFill="1"/>
    <xf numFmtId="0" fontId="0" fillId="2" borderId="0" xfId="0" applyFill="1"/>
    <xf numFmtId="9" fontId="0" fillId="2" borderId="0" xfId="0" applyNumberFormat="1" applyFill="1"/>
    <xf numFmtId="0" fontId="25" fillId="4" borderId="0" xfId="0" applyFont="1" applyFill="1"/>
    <xf numFmtId="0" fontId="25" fillId="4" borderId="0" xfId="0" applyFont="1" applyFill="1" applyAlignment="1">
      <alignment horizontal="right"/>
    </xf>
    <xf numFmtId="0" fontId="29" fillId="15" borderId="0" xfId="7" applyAlignment="1">
      <alignment wrapText="1"/>
    </xf>
    <xf numFmtId="0" fontId="29" fillId="15" borderId="0" xfId="7"/>
    <xf numFmtId="0" fontId="4" fillId="0" borderId="0" xfId="0" applyFont="1" applyAlignment="1">
      <alignment horizontal="left" indent="2"/>
    </xf>
    <xf numFmtId="3" fontId="5" fillId="14" borderId="1" xfId="1" applyNumberFormat="1" applyFont="1" applyFill="1" applyBorder="1" applyAlignment="1">
      <alignment horizontal="right"/>
    </xf>
    <xf numFmtId="0" fontId="5" fillId="2" borderId="1" xfId="0" applyFont="1" applyFill="1" applyBorder="1"/>
    <xf numFmtId="0" fontId="14" fillId="6" borderId="0" xfId="0" applyFont="1" applyFill="1"/>
    <xf numFmtId="0" fontId="7" fillId="0" borderId="0" xfId="0" applyFont="1"/>
    <xf numFmtId="0" fontId="5" fillId="0" borderId="0" xfId="0" applyFont="1"/>
    <xf numFmtId="0" fontId="15" fillId="12" borderId="0" xfId="0" applyFont="1" applyFill="1"/>
    <xf numFmtId="0" fontId="33" fillId="15" borderId="0" xfId="7" applyFont="1" applyBorder="1" applyAlignment="1"/>
    <xf numFmtId="0" fontId="5" fillId="12" borderId="0" xfId="0" applyFont="1" applyFill="1"/>
    <xf numFmtId="0" fontId="5" fillId="14" borderId="0" xfId="0" applyFont="1" applyFill="1" applyAlignment="1">
      <alignment horizontal="right"/>
    </xf>
    <xf numFmtId="0" fontId="15" fillId="2" borderId="0" xfId="0" applyFont="1" applyFill="1"/>
    <xf numFmtId="0" fontId="5" fillId="2" borderId="0" xfId="0" applyFont="1" applyFill="1"/>
    <xf numFmtId="3" fontId="5" fillId="2" borderId="0" xfId="1" applyNumberFormat="1" applyFont="1" applyFill="1" applyBorder="1" applyAlignment="1">
      <alignment horizontal="right"/>
    </xf>
    <xf numFmtId="3" fontId="5" fillId="2" borderId="0" xfId="0" applyNumberFormat="1" applyFont="1" applyFill="1"/>
    <xf numFmtId="1" fontId="5" fillId="2" borderId="0" xfId="0" applyNumberFormat="1" applyFont="1" applyFill="1"/>
    <xf numFmtId="164" fontId="8" fillId="0" borderId="0" xfId="2" applyNumberFormat="1" applyFont="1" applyBorder="1"/>
    <xf numFmtId="3" fontId="8" fillId="0" borderId="0" xfId="0" applyNumberFormat="1" applyFont="1"/>
    <xf numFmtId="0" fontId="20" fillId="0" borderId="0" xfId="0" applyFont="1"/>
    <xf numFmtId="0" fontId="30" fillId="0" borderId="0" xfId="0" applyFont="1"/>
    <xf numFmtId="0" fontId="31" fillId="0" borderId="0" xfId="0" applyFont="1"/>
    <xf numFmtId="0" fontId="32" fillId="4" borderId="0" xfId="0" applyFont="1" applyFill="1"/>
    <xf numFmtId="0" fontId="32" fillId="4" borderId="0" xfId="0" applyFont="1" applyFill="1" applyAlignment="1">
      <alignment horizontal="right"/>
    </xf>
    <xf numFmtId="0" fontId="31" fillId="2" borderId="0" xfId="0" applyFont="1" applyFill="1"/>
    <xf numFmtId="9" fontId="31" fillId="2" borderId="0" xfId="0" applyNumberFormat="1" applyFont="1" applyFill="1"/>
    <xf numFmtId="0" fontId="5" fillId="4" borderId="0" xfId="0" applyFont="1" applyFill="1"/>
    <xf numFmtId="9" fontId="5" fillId="4" borderId="0" xfId="0" applyNumberFormat="1" applyFont="1" applyFill="1" applyAlignment="1">
      <alignment horizontal="right"/>
    </xf>
    <xf numFmtId="165" fontId="5" fillId="0" borderId="0" xfId="0" applyNumberFormat="1" applyFont="1"/>
    <xf numFmtId="0" fontId="19" fillId="5" borderId="3" xfId="0" applyFont="1" applyFill="1" applyBorder="1"/>
    <xf numFmtId="0" fontId="6" fillId="3" borderId="12" xfId="0" applyFont="1" applyFill="1" applyBorder="1" applyAlignment="1">
      <alignment horizontal="right"/>
    </xf>
    <xf numFmtId="0" fontId="6" fillId="3" borderId="13" xfId="0" applyFont="1" applyFill="1" applyBorder="1" applyAlignment="1">
      <alignment horizontal="right"/>
    </xf>
    <xf numFmtId="0" fontId="6" fillId="3" borderId="11" xfId="0" applyFont="1" applyFill="1" applyBorder="1" applyAlignment="1">
      <alignment horizontal="right"/>
    </xf>
    <xf numFmtId="0" fontId="19" fillId="5" borderId="11" xfId="0" applyFont="1" applyFill="1" applyBorder="1"/>
    <xf numFmtId="0" fontId="20" fillId="4" borderId="14" xfId="0" applyFont="1" applyFill="1" applyBorder="1"/>
    <xf numFmtId="0" fontId="20" fillId="13" borderId="15" xfId="0" applyFont="1" applyFill="1" applyBorder="1"/>
    <xf numFmtId="0" fontId="20" fillId="13" borderId="16" xfId="0" applyFont="1" applyFill="1" applyBorder="1"/>
    <xf numFmtId="0" fontId="20" fillId="3" borderId="2" xfId="0" applyFont="1" applyFill="1" applyBorder="1" applyAlignment="1">
      <alignment horizontal="left"/>
    </xf>
    <xf numFmtId="0" fontId="20" fillId="4" borderId="16" xfId="0" applyFont="1" applyFill="1" applyBorder="1"/>
    <xf numFmtId="0" fontId="20" fillId="3" borderId="2" xfId="0" applyFont="1" applyFill="1" applyBorder="1"/>
    <xf numFmtId="164" fontId="6" fillId="4" borderId="10" xfId="2" applyNumberFormat="1" applyFont="1" applyFill="1" applyBorder="1" applyAlignment="1">
      <alignment horizontal="right"/>
    </xf>
    <xf numFmtId="0" fontId="20" fillId="10" borderId="2" xfId="0" applyFont="1" applyFill="1" applyBorder="1" applyAlignment="1">
      <alignment horizontal="left"/>
    </xf>
    <xf numFmtId="0" fontId="6" fillId="10" borderId="12" xfId="0" applyFont="1" applyFill="1" applyBorder="1" applyAlignment="1">
      <alignment horizontal="right"/>
    </xf>
    <xf numFmtId="0" fontId="6" fillId="10" borderId="11" xfId="0" applyFont="1" applyFill="1" applyBorder="1" applyAlignment="1">
      <alignment horizontal="right"/>
    </xf>
    <xf numFmtId="0" fontId="6" fillId="10" borderId="13" xfId="0" applyFont="1" applyFill="1" applyBorder="1" applyAlignment="1">
      <alignment horizontal="right"/>
    </xf>
    <xf numFmtId="0" fontId="20" fillId="13" borderId="2" xfId="0" applyFont="1" applyFill="1" applyBorder="1"/>
    <xf numFmtId="0" fontId="20" fillId="2" borderId="0" xfId="0" applyFont="1" applyFill="1"/>
    <xf numFmtId="3" fontId="20" fillId="2" borderId="0" xfId="1" applyNumberFormat="1" applyFont="1" applyFill="1" applyBorder="1" applyAlignment="1">
      <alignment horizontal="right"/>
    </xf>
    <xf numFmtId="0" fontId="5" fillId="2" borderId="9" xfId="0" applyFont="1" applyFill="1" applyBorder="1"/>
    <xf numFmtId="3" fontId="5" fillId="2" borderId="9" xfId="1" applyNumberFormat="1" applyFont="1" applyFill="1" applyBorder="1" applyAlignment="1">
      <alignment horizontal="right"/>
    </xf>
    <xf numFmtId="0" fontId="20" fillId="2" borderId="9" xfId="0" applyFont="1" applyFill="1" applyBorder="1"/>
    <xf numFmtId="3" fontId="20" fillId="2" borderId="9" xfId="1" applyNumberFormat="1" applyFont="1" applyFill="1" applyBorder="1" applyAlignment="1">
      <alignment horizontal="right"/>
    </xf>
    <xf numFmtId="0" fontId="5" fillId="2" borderId="12" xfId="0" applyFont="1" applyFill="1" applyBorder="1"/>
    <xf numFmtId="3" fontId="5" fillId="14" borderId="12" xfId="1" applyNumberFormat="1" applyFont="1" applyFill="1" applyBorder="1" applyAlignment="1">
      <alignment horizontal="right"/>
    </xf>
    <xf numFmtId="1" fontId="5" fillId="14" borderId="9" xfId="0" applyNumberFormat="1" applyFont="1" applyFill="1" applyBorder="1"/>
    <xf numFmtId="0" fontId="20" fillId="2" borderId="12" xfId="0" applyFont="1" applyFill="1" applyBorder="1"/>
    <xf numFmtId="49" fontId="20" fillId="14" borderId="12" xfId="0" applyNumberFormat="1" applyFont="1" applyFill="1" applyBorder="1" applyAlignment="1">
      <alignment horizontal="right"/>
    </xf>
    <xf numFmtId="2" fontId="5" fillId="14" borderId="14" xfId="0" applyNumberFormat="1" applyFont="1" applyFill="1" applyBorder="1"/>
    <xf numFmtId="2" fontId="5" fillId="14" borderId="15" xfId="0" applyNumberFormat="1" applyFont="1" applyFill="1" applyBorder="1"/>
    <xf numFmtId="0" fontId="0" fillId="14" borderId="3" xfId="0" applyFill="1" applyBorder="1"/>
    <xf numFmtId="0" fontId="0" fillId="14" borderId="4" xfId="0" applyFill="1" applyBorder="1"/>
    <xf numFmtId="0" fontId="0" fillId="14" borderId="5" xfId="0" applyFill="1" applyBorder="1"/>
    <xf numFmtId="0" fontId="0" fillId="14" borderId="7" xfId="0" applyFill="1" applyBorder="1"/>
    <xf numFmtId="0" fontId="0" fillId="14" borderId="6" xfId="0" applyFill="1" applyBorder="1" applyAlignment="1">
      <alignment horizontal="left" indent="2"/>
    </xf>
    <xf numFmtId="0" fontId="9" fillId="14" borderId="6" xfId="0" applyFont="1" applyFill="1" applyBorder="1" applyAlignment="1">
      <alignment horizontal="left" indent="2"/>
    </xf>
    <xf numFmtId="0" fontId="0" fillId="14" borderId="8" xfId="0" applyFill="1" applyBorder="1"/>
    <xf numFmtId="0" fontId="0" fillId="14" borderId="9" xfId="0" applyFill="1" applyBorder="1"/>
    <xf numFmtId="0" fontId="0" fillId="14" borderId="10" xfId="0" applyFill="1" applyBorder="1"/>
    <xf numFmtId="0" fontId="9" fillId="14" borderId="8" xfId="0" applyFont="1" applyFill="1" applyBorder="1" applyAlignment="1">
      <alignment horizontal="left" indent="2"/>
    </xf>
    <xf numFmtId="0" fontId="4" fillId="0" borderId="0" xfId="0" applyFont="1" applyAlignment="1">
      <alignment horizontal="center"/>
    </xf>
    <xf numFmtId="0" fontId="7" fillId="0" borderId="0" xfId="0" applyFont="1" applyAlignment="1">
      <alignment horizontal="center" wrapText="1"/>
    </xf>
    <xf numFmtId="0" fontId="26" fillId="5" borderId="4" xfId="0" applyFont="1" applyFill="1" applyBorder="1" applyAlignment="1">
      <alignment horizontal="right"/>
    </xf>
    <xf numFmtId="3" fontId="5" fillId="14" borderId="4" xfId="2" applyNumberFormat="1" applyFont="1" applyFill="1" applyBorder="1" applyAlignment="1">
      <alignment horizontal="right"/>
    </xf>
    <xf numFmtId="3" fontId="6" fillId="4" borderId="5" xfId="2" applyNumberFormat="1" applyFont="1" applyFill="1" applyBorder="1" applyAlignment="1">
      <alignment horizontal="right"/>
    </xf>
    <xf numFmtId="3" fontId="5" fillId="16" borderId="9" xfId="2" applyNumberFormat="1" applyFont="1" applyFill="1" applyBorder="1" applyAlignment="1">
      <alignment horizontal="right"/>
    </xf>
    <xf numFmtId="3" fontId="6" fillId="4" borderId="10" xfId="2" applyNumberFormat="1" applyFont="1" applyFill="1" applyBorder="1" applyAlignment="1">
      <alignment horizontal="right"/>
    </xf>
    <xf numFmtId="3" fontId="5" fillId="2" borderId="4" xfId="2" applyNumberFormat="1" applyFont="1" applyFill="1" applyBorder="1" applyAlignment="1">
      <alignment horizontal="right"/>
    </xf>
    <xf numFmtId="3" fontId="6" fillId="2" borderId="9" xfId="2" applyNumberFormat="1" applyFont="1" applyFill="1" applyBorder="1" applyAlignment="1">
      <alignment horizontal="right"/>
    </xf>
    <xf numFmtId="3" fontId="5" fillId="12" borderId="0" xfId="0" applyNumberFormat="1" applyFont="1" applyFill="1" applyAlignment="1">
      <alignment horizontal="right"/>
    </xf>
    <xf numFmtId="3" fontId="6" fillId="10" borderId="7" xfId="2" applyNumberFormat="1" applyFont="1" applyFill="1" applyBorder="1" applyAlignment="1">
      <alignment horizontal="right"/>
    </xf>
    <xf numFmtId="3" fontId="6" fillId="12" borderId="0" xfId="0" applyNumberFormat="1" applyFont="1" applyFill="1" applyAlignment="1">
      <alignment horizontal="right"/>
    </xf>
    <xf numFmtId="0" fontId="19" fillId="5" borderId="12" xfId="0" applyFont="1" applyFill="1" applyBorder="1" applyAlignment="1">
      <alignment horizontal="right"/>
    </xf>
    <xf numFmtId="0" fontId="19" fillId="5" borderId="13" xfId="0" applyFont="1" applyFill="1" applyBorder="1" applyAlignment="1">
      <alignment horizontal="right"/>
    </xf>
    <xf numFmtId="164" fontId="5" fillId="2" borderId="4" xfId="2" applyNumberFormat="1" applyFont="1" applyFill="1" applyBorder="1" applyAlignment="1">
      <alignment horizontal="right"/>
    </xf>
    <xf numFmtId="164" fontId="6" fillId="4" borderId="5" xfId="2" applyNumberFormat="1" applyFont="1" applyFill="1" applyBorder="1" applyAlignment="1">
      <alignment horizontal="right"/>
    </xf>
    <xf numFmtId="164" fontId="5" fillId="12" borderId="0" xfId="2" applyNumberFormat="1" applyFont="1" applyFill="1" applyBorder="1" applyAlignment="1">
      <alignment horizontal="right"/>
    </xf>
    <xf numFmtId="164" fontId="6" fillId="13" borderId="7" xfId="2" applyNumberFormat="1" applyFont="1" applyFill="1" applyBorder="1" applyAlignment="1">
      <alignment horizontal="right"/>
    </xf>
    <xf numFmtId="164" fontId="6" fillId="12" borderId="0" xfId="2" applyNumberFormat="1" applyFont="1" applyFill="1" applyBorder="1" applyAlignment="1">
      <alignment horizontal="right"/>
    </xf>
    <xf numFmtId="164" fontId="6" fillId="13" borderId="12" xfId="2" applyNumberFormat="1" applyFont="1" applyFill="1" applyBorder="1" applyAlignment="1">
      <alignment horizontal="right"/>
    </xf>
    <xf numFmtId="164" fontId="6" fillId="13" borderId="11" xfId="2" applyNumberFormat="1" applyFont="1" applyFill="1" applyBorder="1" applyAlignment="1">
      <alignment horizontal="right"/>
    </xf>
    <xf numFmtId="164" fontId="6" fillId="13" borderId="13" xfId="2" applyNumberFormat="1" applyFont="1" applyFill="1" applyBorder="1" applyAlignment="1">
      <alignment horizontal="right"/>
    </xf>
    <xf numFmtId="3" fontId="5" fillId="14" borderId="3" xfId="2" applyNumberFormat="1" applyFont="1" applyFill="1" applyBorder="1" applyAlignment="1">
      <alignment horizontal="right"/>
    </xf>
    <xf numFmtId="3" fontId="5" fillId="14" borderId="5" xfId="2" applyNumberFormat="1" applyFont="1" applyFill="1" applyBorder="1" applyAlignment="1">
      <alignment horizontal="right"/>
    </xf>
    <xf numFmtId="3" fontId="5" fillId="16" borderId="8" xfId="2" applyNumberFormat="1" applyFont="1" applyFill="1" applyBorder="1" applyAlignment="1">
      <alignment horizontal="right"/>
    </xf>
    <xf numFmtId="3" fontId="5" fillId="16" borderId="10" xfId="2" applyNumberFormat="1" applyFont="1" applyFill="1" applyBorder="1" applyAlignment="1">
      <alignment horizontal="right"/>
    </xf>
    <xf numFmtId="3" fontId="5" fillId="2" borderId="3" xfId="2" applyNumberFormat="1" applyFont="1" applyFill="1" applyBorder="1" applyAlignment="1">
      <alignment horizontal="right"/>
    </xf>
    <xf numFmtId="3" fontId="5" fillId="2" borderId="5" xfId="2" applyNumberFormat="1" applyFont="1" applyFill="1" applyBorder="1" applyAlignment="1">
      <alignment horizontal="right"/>
    </xf>
    <xf numFmtId="3" fontId="6" fillId="2" borderId="8" xfId="2" applyNumberFormat="1" applyFont="1" applyFill="1" applyBorder="1" applyAlignment="1">
      <alignment horizontal="right"/>
    </xf>
    <xf numFmtId="3" fontId="6" fillId="2" borderId="10" xfId="2" applyNumberFormat="1" applyFont="1" applyFill="1" applyBorder="1" applyAlignment="1">
      <alignment horizontal="right"/>
    </xf>
    <xf numFmtId="3" fontId="5" fillId="12" borderId="6" xfId="0" applyNumberFormat="1" applyFont="1" applyFill="1" applyBorder="1" applyAlignment="1">
      <alignment horizontal="right"/>
    </xf>
    <xf numFmtId="3" fontId="5" fillId="12" borderId="7" xfId="0" applyNumberFormat="1" applyFont="1" applyFill="1" applyBorder="1" applyAlignment="1">
      <alignment horizontal="right"/>
    </xf>
    <xf numFmtId="3" fontId="6" fillId="12" borderId="8" xfId="0" applyNumberFormat="1" applyFont="1" applyFill="1" applyBorder="1" applyAlignment="1">
      <alignment horizontal="right"/>
    </xf>
    <xf numFmtId="3" fontId="6" fillId="12" borderId="9" xfId="0" applyNumberFormat="1" applyFont="1" applyFill="1" applyBorder="1" applyAlignment="1">
      <alignment horizontal="right"/>
    </xf>
    <xf numFmtId="3" fontId="6" fillId="12" borderId="10" xfId="0" applyNumberFormat="1" applyFont="1" applyFill="1" applyBorder="1" applyAlignment="1">
      <alignment horizontal="right"/>
    </xf>
    <xf numFmtId="164" fontId="5" fillId="2" borderId="3" xfId="2" applyNumberFormat="1" applyFont="1" applyFill="1" applyBorder="1" applyAlignment="1">
      <alignment horizontal="right"/>
    </xf>
    <xf numFmtId="164" fontId="5" fillId="2" borderId="5" xfId="2" applyNumberFormat="1" applyFont="1" applyFill="1" applyBorder="1" applyAlignment="1">
      <alignment horizontal="right"/>
    </xf>
    <xf numFmtId="164" fontId="5" fillId="12" borderId="6" xfId="2" applyNumberFormat="1" applyFont="1" applyFill="1" applyBorder="1" applyAlignment="1">
      <alignment horizontal="right"/>
    </xf>
    <xf numFmtId="164" fontId="5" fillId="12" borderId="7" xfId="2" applyNumberFormat="1" applyFont="1" applyFill="1" applyBorder="1" applyAlignment="1">
      <alignment horizontal="right"/>
    </xf>
    <xf numFmtId="164" fontId="6" fillId="12" borderId="6" xfId="2" applyNumberFormat="1" applyFont="1" applyFill="1" applyBorder="1" applyAlignment="1">
      <alignment horizontal="right"/>
    </xf>
    <xf numFmtId="164" fontId="6" fillId="12" borderId="7" xfId="2" applyNumberFormat="1" applyFont="1" applyFill="1" applyBorder="1" applyAlignment="1">
      <alignment horizontal="right"/>
    </xf>
    <xf numFmtId="1" fontId="4" fillId="0" borderId="0" xfId="0" applyNumberFormat="1" applyFont="1"/>
    <xf numFmtId="0" fontId="5" fillId="14" borderId="0" xfId="0" applyFont="1" applyFill="1"/>
    <xf numFmtId="0" fontId="0" fillId="0" borderId="0" xfId="0" applyAlignment="1">
      <alignment horizontal="left" indent="1"/>
    </xf>
    <xf numFmtId="0" fontId="0" fillId="0" borderId="0" xfId="0" applyAlignment="1">
      <alignment horizontal="left"/>
    </xf>
    <xf numFmtId="0" fontId="4" fillId="0" borderId="0" xfId="0" applyFont="1" applyAlignment="1">
      <alignment horizontal="left" indent="4"/>
    </xf>
    <xf numFmtId="164" fontId="6" fillId="2" borderId="9" xfId="2" applyNumberFormat="1" applyFont="1" applyFill="1" applyBorder="1" applyAlignment="1">
      <alignment horizontal="right"/>
    </xf>
    <xf numFmtId="164" fontId="6" fillId="2" borderId="8" xfId="2" applyNumberFormat="1" applyFont="1" applyFill="1" applyBorder="1" applyAlignment="1">
      <alignment horizontal="right"/>
    </xf>
    <xf numFmtId="164" fontId="6" fillId="2" borderId="10" xfId="2" applyNumberFormat="1" applyFont="1" applyFill="1" applyBorder="1" applyAlignment="1">
      <alignment horizontal="right"/>
    </xf>
    <xf numFmtId="0" fontId="7" fillId="14" borderId="0" xfId="0" applyFont="1" applyFill="1" applyAlignment="1">
      <alignment horizontal="left"/>
    </xf>
    <xf numFmtId="0" fontId="5" fillId="2" borderId="0" xfId="0" applyFont="1" applyFill="1" applyAlignment="1">
      <alignment horizontal="left" indent="1"/>
    </xf>
    <xf numFmtId="0" fontId="30" fillId="2" borderId="0" xfId="0" applyFont="1" applyFill="1"/>
    <xf numFmtId="0" fontId="7" fillId="2" borderId="0" xfId="0" applyFont="1" applyFill="1" applyAlignment="1">
      <alignment horizontal="left" indent="1"/>
    </xf>
    <xf numFmtId="166" fontId="7" fillId="2" borderId="15" xfId="2" applyNumberFormat="1" applyFont="1" applyFill="1" applyBorder="1"/>
    <xf numFmtId="164" fontId="7" fillId="2" borderId="16" xfId="2" applyNumberFormat="1" applyFont="1" applyFill="1" applyBorder="1"/>
    <xf numFmtId="0" fontId="26" fillId="5" borderId="5" xfId="0" applyFont="1" applyFill="1" applyBorder="1" applyAlignment="1">
      <alignment horizontal="right"/>
    </xf>
    <xf numFmtId="0" fontId="34" fillId="4" borderId="0" xfId="0" applyFont="1" applyFill="1"/>
    <xf numFmtId="0" fontId="34" fillId="4" borderId="0" xfId="0" applyFont="1" applyFill="1" applyAlignment="1">
      <alignment horizontal="right"/>
    </xf>
    <xf numFmtId="0" fontId="0" fillId="2" borderId="0" xfId="0" applyFill="1" applyAlignment="1">
      <alignment wrapText="1"/>
    </xf>
    <xf numFmtId="0" fontId="0" fillId="2" borderId="0" xfId="0" quotePrefix="1" applyFill="1" applyAlignment="1">
      <alignment horizontal="right"/>
    </xf>
    <xf numFmtId="14" fontId="0" fillId="2" borderId="0" xfId="0" applyNumberFormat="1" applyFill="1" applyAlignment="1">
      <alignment horizontal="right"/>
    </xf>
    <xf numFmtId="167" fontId="0" fillId="2" borderId="0" xfId="2" applyNumberFormat="1" applyFont="1" applyFill="1"/>
    <xf numFmtId="167" fontId="0" fillId="8" borderId="0" xfId="2" applyNumberFormat="1" applyFont="1" applyFill="1"/>
    <xf numFmtId="167" fontId="0" fillId="9" borderId="0" xfId="2" applyNumberFormat="1" applyFont="1" applyFill="1"/>
    <xf numFmtId="0" fontId="20" fillId="14" borderId="0" xfId="0" applyFont="1" applyFill="1"/>
    <xf numFmtId="0" fontId="7" fillId="0" borderId="0" xfId="0" applyFont="1" applyAlignment="1">
      <alignment wrapText="1"/>
    </xf>
    <xf numFmtId="0" fontId="24" fillId="7" borderId="0" xfId="0" applyFont="1" applyFill="1" applyAlignment="1">
      <alignment horizontal="center"/>
    </xf>
  </cellXfs>
  <cellStyles count="8">
    <cellStyle name="Bad" xfId="7" builtinId="27"/>
    <cellStyle name="Currency" xfId="1" builtinId="4"/>
    <cellStyle name="Hyperlink" xfId="6" builtinId="8"/>
    <cellStyle name="Normal" xfId="0" builtinId="0"/>
    <cellStyle name="Normal 2" xfId="3" xr:uid="{6CE757D7-1F8B-437D-9769-2080C52B0E0F}"/>
    <cellStyle name="Normal 20" xfId="4" xr:uid="{173BB741-EBB4-4682-917A-727848B0E4C8}"/>
    <cellStyle name="Normal 3" xfId="5" xr:uid="{980A521D-8AAC-4256-82FC-CEAADDD9E1F4}"/>
    <cellStyle name="Percent" xfId="2" builtinId="5"/>
  </cellStyles>
  <dxfs count="7">
    <dxf>
      <font>
        <color rgb="FF006100"/>
      </font>
      <fill>
        <patternFill>
          <bgColor rgb="FFC6EFCE"/>
        </patternFill>
      </fill>
    </dxf>
    <dxf>
      <font>
        <color rgb="FF9C0006"/>
      </font>
      <fill>
        <patternFill>
          <bgColor rgb="FFFFC7CE"/>
        </patternFill>
      </fill>
    </dxf>
    <dxf>
      <font>
        <color theme="1"/>
      </font>
      <fill>
        <patternFill>
          <bgColor theme="0" tint="-0.14996795556505021"/>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j-lt"/>
                <a:ea typeface="+mn-ea"/>
                <a:cs typeface="+mn-cs"/>
              </a:defRPr>
            </a:pPr>
            <a:r>
              <a:rPr lang="en-AU" sz="1100">
                <a:latin typeface="+mj-lt"/>
              </a:rPr>
              <a:t>Project Budget Expenditure Profile (With Escalation)</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j-lt"/>
              <a:ea typeface="+mn-ea"/>
              <a:cs typeface="+mn-cs"/>
            </a:defRPr>
          </a:pPr>
          <a:endParaRPr lang="en-US"/>
        </a:p>
      </c:txPr>
    </c:title>
    <c:autoTitleDeleted val="0"/>
    <c:plotArea>
      <c:layout/>
      <c:barChart>
        <c:barDir val="col"/>
        <c:grouping val="stacked"/>
        <c:varyColors val="0"/>
        <c:ser>
          <c:idx val="0"/>
          <c:order val="0"/>
          <c:tx>
            <c:v>Profile</c:v>
          </c:tx>
          <c:spPr>
            <a:solidFill>
              <a:schemeClr val="accent1">
                <a:lumMod val="40000"/>
                <a:lumOff val="60000"/>
              </a:schemeClr>
            </a:solidFill>
            <a:ln>
              <a:noFill/>
            </a:ln>
            <a:effectLst/>
          </c:spPr>
          <c:invertIfNegative val="0"/>
          <c:dLbls>
            <c:dLbl>
              <c:idx val="0"/>
              <c:tx>
                <c:rich>
                  <a:bodyPr/>
                  <a:lstStyle/>
                  <a:p>
                    <a:fld id="{B2EC42C2-89C6-4E2A-967D-BB90ABB07E6F}" type="CELLRANGE">
                      <a:rPr lang="en-US"/>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917-4931-A5A1-236929EEB7A9}"/>
                </c:ext>
              </c:extLst>
            </c:dLbl>
            <c:dLbl>
              <c:idx val="1"/>
              <c:tx>
                <c:rich>
                  <a:bodyPr/>
                  <a:lstStyle/>
                  <a:p>
                    <a:fld id="{39E0FD76-A4ED-443C-977F-790372BDBCF4}" type="CELLRANGE">
                      <a:rPr lang="en-US"/>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917-4931-A5A1-236929EEB7A9}"/>
                </c:ext>
              </c:extLst>
            </c:dLbl>
            <c:dLbl>
              <c:idx val="2"/>
              <c:tx>
                <c:rich>
                  <a:bodyPr/>
                  <a:lstStyle/>
                  <a:p>
                    <a:fld id="{3CDE59D5-49C9-4149-B585-7BA80571E6F8}" type="CELLRANGE">
                      <a:rPr lang="en-US"/>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917-4931-A5A1-236929EEB7A9}"/>
                </c:ext>
              </c:extLst>
            </c:dLbl>
            <c:dLbl>
              <c:idx val="3"/>
              <c:tx>
                <c:rich>
                  <a:bodyPr/>
                  <a:lstStyle/>
                  <a:p>
                    <a:fld id="{DAFE0DC0-4DAA-4496-84A8-123957A73ED7}" type="CELLRANGE">
                      <a:rPr lang="en-US"/>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917-4931-A5A1-236929EEB7A9}"/>
                </c:ext>
              </c:extLst>
            </c:dLbl>
            <c:dLbl>
              <c:idx val="4"/>
              <c:tx>
                <c:rich>
                  <a:bodyPr/>
                  <a:lstStyle/>
                  <a:p>
                    <a:fld id="{BBF1EDA8-7E5F-4CEE-9EDB-AB76FAC0CBC7}" type="CELLRANGE">
                      <a:rPr lang="en-US"/>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917-4931-A5A1-236929EEB7A9}"/>
                </c:ext>
              </c:extLst>
            </c:dLbl>
            <c:dLbl>
              <c:idx val="5"/>
              <c:tx>
                <c:rich>
                  <a:bodyPr/>
                  <a:lstStyle/>
                  <a:p>
                    <a:fld id="{3F82B9C9-CD19-486F-9960-728123A2CC28}" type="CELLRANGE">
                      <a:rPr lang="en-US"/>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917-4931-A5A1-236929EEB7A9}"/>
                </c:ext>
              </c:extLst>
            </c:dLbl>
            <c:dLbl>
              <c:idx val="6"/>
              <c:tx>
                <c:rich>
                  <a:bodyPr/>
                  <a:lstStyle/>
                  <a:p>
                    <a:fld id="{BF1E1841-07B5-4CB0-AB69-FF7BB54850C4}" type="CELLRANGE">
                      <a:rPr lang="en-US"/>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917-4931-A5A1-236929EEB7A9}"/>
                </c:ext>
              </c:extLst>
            </c:dLbl>
            <c:dLbl>
              <c:idx val="7"/>
              <c:tx>
                <c:rich>
                  <a:bodyPr/>
                  <a:lstStyle/>
                  <a:p>
                    <a:fld id="{C60E10C8-F309-46EF-8B6A-4EBE8A9EF485}" type="CELLRANGE">
                      <a:rPr lang="en-US"/>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917-4931-A5A1-236929EEB7A9}"/>
                </c:ext>
              </c:extLst>
            </c:dLbl>
            <c:dLbl>
              <c:idx val="8"/>
              <c:tx>
                <c:rich>
                  <a:bodyPr/>
                  <a:lstStyle/>
                  <a:p>
                    <a:fld id="{316BB404-3400-4B5E-B81B-DA05697E6AC0}" type="CELLRANGE">
                      <a:rPr lang="en-US"/>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917-4931-A5A1-236929EEB7A9}"/>
                </c:ext>
              </c:extLst>
            </c:dLbl>
            <c:dLbl>
              <c:idx val="9"/>
              <c:tx>
                <c:rich>
                  <a:bodyPr/>
                  <a:lstStyle/>
                  <a:p>
                    <a:fld id="{3B288403-DB63-4480-8133-BEB1B6A30278}" type="CELLRANGE">
                      <a:rPr lang="en-US"/>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917-4931-A5A1-236929EEB7A9}"/>
                </c:ext>
              </c:extLst>
            </c:dLbl>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'Escalation Template'!$E$6:$N$6</c:f>
              <c:strCache>
                <c:ptCount val="10"/>
                <c:pt idx="0">
                  <c:v>2024-25</c:v>
                </c:pt>
                <c:pt idx="1">
                  <c:v>2025-26</c:v>
                </c:pt>
                <c:pt idx="2">
                  <c:v>2026-27</c:v>
                </c:pt>
                <c:pt idx="3">
                  <c:v>2027-28</c:v>
                </c:pt>
                <c:pt idx="4">
                  <c:v>2028-29</c:v>
                </c:pt>
                <c:pt idx="5">
                  <c:v>2029-30</c:v>
                </c:pt>
                <c:pt idx="6">
                  <c:v>2030-31</c:v>
                </c:pt>
                <c:pt idx="7">
                  <c:v>2031-32</c:v>
                </c:pt>
                <c:pt idx="8">
                  <c:v>2032-33</c:v>
                </c:pt>
                <c:pt idx="9">
                  <c:v>2033-34</c:v>
                </c:pt>
              </c:strCache>
            </c:strRef>
          </c:cat>
          <c:val>
            <c:numRef>
              <c:f>'Escalation Template'!$E$8:$N$8</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'Escalation Template'!$E$23:$N$23</c15:f>
                <c15:dlblRangeCache>
                  <c:ptCount val="10"/>
                </c15:dlblRangeCache>
              </c15:datalabelsRange>
            </c:ext>
            <c:ext xmlns:c16="http://schemas.microsoft.com/office/drawing/2014/chart" uri="{C3380CC4-5D6E-409C-BE32-E72D297353CC}">
              <c16:uniqueId val="{0000000A-B917-4931-A5A1-236929EEB7A9}"/>
            </c:ext>
          </c:extLst>
        </c:ser>
        <c:ser>
          <c:idx val="2"/>
          <c:order val="1"/>
          <c:tx>
            <c:v>Escalation</c:v>
          </c:tx>
          <c:spPr>
            <a:solidFill>
              <a:schemeClr val="accent5">
                <a:lumMod val="40000"/>
                <a:lumOff val="60000"/>
              </a:schemeClr>
            </a:solidFill>
            <a:ln>
              <a:noFill/>
            </a:ln>
            <a:effectLst/>
          </c:spPr>
          <c:invertIfNegative val="0"/>
          <c:val>
            <c:numRef>
              <c:f>'Escalation Template'!$E$24:$N$24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B917-4931-A5A1-236929EEB7A9}"/>
            </c:ext>
          </c:extLst>
        </c:ser>
        <c:dLbls>
          <c:showLegendKey val="0"/>
          <c:showVal val="0"/>
          <c:showCatName val="0"/>
          <c:showSerName val="0"/>
          <c:showPercent val="0"/>
          <c:showBubbleSize val="0"/>
        </c:dLbls>
        <c:gapWidth val="150"/>
        <c:overlap val="100"/>
        <c:axId val="1092351880"/>
        <c:axId val="1092355480"/>
      </c:barChart>
      <c:lineChart>
        <c:grouping val="standard"/>
        <c:varyColors val="0"/>
        <c:ser>
          <c:idx val="1"/>
          <c:order val="2"/>
          <c:tx>
            <c:v>Cumulative</c:v>
          </c:tx>
          <c:spPr>
            <a:ln w="25400" cap="rnd">
              <a:solidFill>
                <a:schemeClr val="tx2">
                  <a:lumMod val="40000"/>
                  <a:lumOff val="60000"/>
                </a:schemeClr>
              </a:solidFill>
              <a:prstDash val="sysDot"/>
              <a:round/>
            </a:ln>
            <a:effectLst/>
          </c:spPr>
          <c:marker>
            <c:symbol val="none"/>
          </c:marker>
          <c:cat>
            <c:strRef>
              <c:f>'Escalation Template'!$E$6:$N$6</c:f>
              <c:strCache>
                <c:ptCount val="10"/>
                <c:pt idx="0">
                  <c:v>2024-25</c:v>
                </c:pt>
                <c:pt idx="1">
                  <c:v>2025-26</c:v>
                </c:pt>
                <c:pt idx="2">
                  <c:v>2026-27</c:v>
                </c:pt>
                <c:pt idx="3">
                  <c:v>2027-28</c:v>
                </c:pt>
                <c:pt idx="4">
                  <c:v>2028-29</c:v>
                </c:pt>
                <c:pt idx="5">
                  <c:v>2029-30</c:v>
                </c:pt>
                <c:pt idx="6">
                  <c:v>2030-31</c:v>
                </c:pt>
                <c:pt idx="7">
                  <c:v>2031-32</c:v>
                </c:pt>
                <c:pt idx="8">
                  <c:v>2032-33</c:v>
                </c:pt>
                <c:pt idx="9">
                  <c:v>2033-34</c:v>
                </c:pt>
              </c:strCache>
            </c:strRef>
          </c:cat>
          <c:val>
            <c:numRef>
              <c:f>'Escalation Template'!$E$22:$N$22</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C-B917-4931-A5A1-236929EEB7A9}"/>
            </c:ext>
          </c:extLst>
        </c:ser>
        <c:dLbls>
          <c:showLegendKey val="0"/>
          <c:showVal val="0"/>
          <c:showCatName val="0"/>
          <c:showSerName val="0"/>
          <c:showPercent val="0"/>
          <c:showBubbleSize val="0"/>
        </c:dLbls>
        <c:dropLines>
          <c:spPr>
            <a:ln w="127000" cap="flat" cmpd="sng" algn="ctr">
              <a:solidFill>
                <a:schemeClr val="tx2">
                  <a:lumMod val="40000"/>
                  <a:lumOff val="60000"/>
                  <a:alpha val="0"/>
                </a:schemeClr>
              </a:solidFill>
              <a:round/>
            </a:ln>
            <a:effectLst/>
          </c:spPr>
        </c:dropLines>
        <c:marker val="1"/>
        <c:smooth val="0"/>
        <c:axId val="1119898544"/>
        <c:axId val="1119904304"/>
      </c:lineChart>
      <c:catAx>
        <c:axId val="109235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92355480"/>
        <c:crosses val="autoZero"/>
        <c:auto val="1"/>
        <c:lblAlgn val="ctr"/>
        <c:lblOffset val="100"/>
        <c:noMultiLvlLbl val="0"/>
      </c:catAx>
      <c:valAx>
        <c:axId val="1092355480"/>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br>
                  <a:rPr lang="en-AU"/>
                </a:br>
                <a:br>
                  <a:rPr lang="en-AU"/>
                </a:br>
                <a:br>
                  <a:rPr lang="en-AU"/>
                </a:br>
                <a:r>
                  <a:rPr lang="en-AU"/>
                  <a:t>Project Budget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92351880"/>
        <c:crosses val="autoZero"/>
        <c:crossBetween val="between"/>
      </c:valAx>
      <c:valAx>
        <c:axId val="1119904304"/>
        <c:scaling>
          <c:orientation val="minMax"/>
          <c:max val="1"/>
          <c:min val="0"/>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Cumulative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19898544"/>
        <c:crosses val="max"/>
        <c:crossBetween val="between"/>
      </c:valAx>
      <c:catAx>
        <c:axId val="1119898544"/>
        <c:scaling>
          <c:orientation val="minMax"/>
        </c:scaling>
        <c:delete val="1"/>
        <c:axPos val="b"/>
        <c:numFmt formatCode="General" sourceLinked="1"/>
        <c:majorTickMark val="out"/>
        <c:minorTickMark val="none"/>
        <c:tickLblPos val="nextTo"/>
        <c:crossAx val="1119904304"/>
        <c:crosses val="autoZero"/>
        <c:auto val="1"/>
        <c:lblAlgn val="ctr"/>
        <c:lblOffset val="100"/>
        <c:noMultiLvlLbl val="0"/>
      </c:catAx>
      <c:dTable>
        <c:showHorzBorder val="0"/>
        <c:showVertBorder val="0"/>
        <c:showOutline val="0"/>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solidFill>
            <a:schemeClr val="tx1"/>
          </a:solidFill>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emplate Guidance'!A1"/><Relationship Id="rId1" Type="http://schemas.openxmlformats.org/officeDocument/2006/relationships/hyperlink" Target="#'Escalation Template'!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Template Guidance'!A1"/><Relationship Id="rId1" Type="http://schemas.openxmlformats.org/officeDocument/2006/relationships/hyperlink" Target="#'Escalation Template'!A1"/></Relationships>
</file>

<file path=xl/drawings/_rels/drawing3.xml.rels><?xml version="1.0" encoding="UTF-8" standalone="yes"?>
<Relationships xmlns="http://schemas.openxmlformats.org/package/2006/relationships"><Relationship Id="rId3" Type="http://schemas.openxmlformats.org/officeDocument/2006/relationships/hyperlink" Target="#'Underlying Data &gt;&gt;'!A1"/><Relationship Id="rId2" Type="http://schemas.openxmlformats.org/officeDocument/2006/relationships/hyperlink" Target="#'Template Guidance'!A1"/><Relationship Id="rId1" Type="http://schemas.openxmlformats.org/officeDocument/2006/relationships/hyperlink" Target="#'Escalation Template'!A1"/></Relationships>
</file>

<file path=xl/drawings/_rels/drawing4.xml.rels><?xml version="1.0" encoding="UTF-8" standalone="yes"?>
<Relationships xmlns="http://schemas.openxmlformats.org/package/2006/relationships"><Relationship Id="rId3" Type="http://schemas.openxmlformats.org/officeDocument/2006/relationships/hyperlink" Target="#'Underlying Data &gt;&gt;'!A1"/><Relationship Id="rId2" Type="http://schemas.openxmlformats.org/officeDocument/2006/relationships/hyperlink" Target="#'Template Guidance'!A1"/><Relationship Id="rId1" Type="http://schemas.openxmlformats.org/officeDocument/2006/relationships/hyperlink" Target="#'Escalation Template'!A1"/></Relationships>
</file>

<file path=xl/drawings/_rels/drawing5.xml.rels><?xml version="1.0" encoding="UTF-8" standalone="yes"?>
<Relationships xmlns="http://schemas.openxmlformats.org/package/2006/relationships"><Relationship Id="rId3" Type="http://schemas.openxmlformats.org/officeDocument/2006/relationships/hyperlink" Target="#'Underlying Data &gt;&gt;'!A1"/><Relationship Id="rId2" Type="http://schemas.openxmlformats.org/officeDocument/2006/relationships/hyperlink" Target="#'Template Guidance'!A1"/><Relationship Id="rId1" Type="http://schemas.openxmlformats.org/officeDocument/2006/relationships/hyperlink" Target="#'Escalation Template'!A1"/></Relationships>
</file>

<file path=xl/drawings/_rels/drawing6.xml.rels><?xml version="1.0" encoding="UTF-8" standalone="yes"?>
<Relationships xmlns="http://schemas.openxmlformats.org/package/2006/relationships"><Relationship Id="rId3" Type="http://schemas.openxmlformats.org/officeDocument/2006/relationships/hyperlink" Target="#'Underlying Data &gt;&gt;'!A1"/><Relationship Id="rId2" Type="http://schemas.openxmlformats.org/officeDocument/2006/relationships/hyperlink" Target="#'Template Guidance'!A1"/><Relationship Id="rId1" Type="http://schemas.openxmlformats.org/officeDocument/2006/relationships/hyperlink" Target="#'Escalation Templat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4495157</xdr:colOff>
      <xdr:row>1</xdr:row>
      <xdr:rowOff>77954</xdr:rowOff>
    </xdr:to>
    <xdr:grpSp>
      <xdr:nvGrpSpPr>
        <xdr:cNvPr id="32" name="Group 31">
          <a:extLst>
            <a:ext uri="{FF2B5EF4-FFF2-40B4-BE49-F238E27FC236}">
              <a16:creationId xmlns:a16="http://schemas.microsoft.com/office/drawing/2014/main" id="{27D4DB41-5D0F-A4F7-B4C8-6EB6C01631DB}"/>
            </a:ext>
          </a:extLst>
        </xdr:cNvPr>
        <xdr:cNvGrpSpPr/>
      </xdr:nvGrpSpPr>
      <xdr:grpSpPr>
        <a:xfrm>
          <a:off x="0" y="0"/>
          <a:ext cx="4495157" cy="277979"/>
          <a:chOff x="0" y="0"/>
          <a:chExt cx="4678578" cy="292661"/>
        </a:xfrm>
      </xdr:grpSpPr>
      <xdr:sp macro="" textlink="">
        <xdr:nvSpPr>
          <xdr:cNvPr id="37" name="Arrow: Pentagon 36">
            <a:hlinkClick xmlns:r="http://schemas.openxmlformats.org/officeDocument/2006/relationships" r:id="rId1"/>
            <a:extLst>
              <a:ext uri="{FF2B5EF4-FFF2-40B4-BE49-F238E27FC236}">
                <a16:creationId xmlns:a16="http://schemas.microsoft.com/office/drawing/2014/main" id="{2B14D830-4FA2-281D-5CFE-65EC12E2B8A5}"/>
              </a:ext>
            </a:extLst>
          </xdr:cNvPr>
          <xdr:cNvSpPr/>
        </xdr:nvSpPr>
        <xdr:spPr>
          <a:xfrm>
            <a:off x="2160302" y="1705"/>
            <a:ext cx="2518276" cy="290956"/>
          </a:xfrm>
          <a:prstGeom prst="homePlate">
            <a:avLst/>
          </a:prstGeom>
          <a:solidFill>
            <a:schemeClr val="accent1">
              <a:lumMod val="40000"/>
              <a:lumOff val="60000"/>
            </a:schemeClr>
          </a:solidFill>
          <a:ln>
            <a:solidFill>
              <a:schemeClr val="bg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b="0">
                <a:solidFill>
                  <a:schemeClr val="tx1"/>
                </a:solidFill>
                <a:latin typeface="+mj-lt"/>
              </a:rPr>
              <a:t>Escalation Template</a:t>
            </a:r>
          </a:p>
        </xdr:txBody>
      </xdr:sp>
      <xdr:sp macro="" textlink="">
        <xdr:nvSpPr>
          <xdr:cNvPr id="38" name="Rectangle 37">
            <a:hlinkClick xmlns:r="http://schemas.openxmlformats.org/officeDocument/2006/relationships" r:id="rId2"/>
            <a:extLst>
              <a:ext uri="{FF2B5EF4-FFF2-40B4-BE49-F238E27FC236}">
                <a16:creationId xmlns:a16="http://schemas.microsoft.com/office/drawing/2014/main" id="{E4AAE0FE-3DDA-0A20-81F2-30E8EB89EDAE}"/>
              </a:ext>
            </a:extLst>
          </xdr:cNvPr>
          <xdr:cNvSpPr/>
        </xdr:nvSpPr>
        <xdr:spPr>
          <a:xfrm>
            <a:off x="0" y="0"/>
            <a:ext cx="2160000" cy="290956"/>
          </a:xfrm>
          <a:prstGeom prst="rect">
            <a:avLst/>
          </a:prstGeom>
          <a:solidFill>
            <a:schemeClr val="accent6"/>
          </a:solidFill>
          <a:ln>
            <a:solidFill>
              <a:schemeClr val="bg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AU" sz="1100">
                <a:solidFill>
                  <a:schemeClr val="tx1"/>
                </a:solidFill>
                <a:latin typeface="+mj-lt"/>
              </a:rPr>
              <a:t>Return to Overview</a:t>
            </a:r>
          </a:p>
        </xdr:txBody>
      </xdr:sp>
    </xdr:grpSp>
    <xdr:clientData/>
  </xdr:twoCellAnchor>
  <xdr:twoCellAnchor editAs="oneCell">
    <xdr:from>
      <xdr:col>0</xdr:col>
      <xdr:colOff>0</xdr:colOff>
      <xdr:row>49</xdr:row>
      <xdr:rowOff>0</xdr:rowOff>
    </xdr:from>
    <xdr:to>
      <xdr:col>1</xdr:col>
      <xdr:colOff>617186</xdr:colOff>
      <xdr:row>63</xdr:row>
      <xdr:rowOff>84412</xdr:rowOff>
    </xdr:to>
    <xdr:pic>
      <xdr:nvPicPr>
        <xdr:cNvPr id="8" name="Picture 7">
          <a:extLst>
            <a:ext uri="{FF2B5EF4-FFF2-40B4-BE49-F238E27FC236}">
              <a16:creationId xmlns:a16="http://schemas.microsoft.com/office/drawing/2014/main" id="{60365C26-4978-D126-124D-76E3767A8F46}"/>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0" y="11291888"/>
          <a:ext cx="6098824" cy="2880000"/>
        </a:xfrm>
        <a:prstGeom prst="rect">
          <a:avLst/>
        </a:prstGeom>
      </xdr:spPr>
    </xdr:pic>
    <xdr:clientData/>
  </xdr:twoCellAnchor>
  <xdr:twoCellAnchor editAs="oneCell">
    <xdr:from>
      <xdr:col>6</xdr:col>
      <xdr:colOff>0</xdr:colOff>
      <xdr:row>6</xdr:row>
      <xdr:rowOff>0</xdr:rowOff>
    </xdr:from>
    <xdr:to>
      <xdr:col>7</xdr:col>
      <xdr:colOff>721524</xdr:colOff>
      <xdr:row>8</xdr:row>
      <xdr:rowOff>74151</xdr:rowOff>
    </xdr:to>
    <xdr:pic>
      <xdr:nvPicPr>
        <xdr:cNvPr id="5" name="Logo">
          <a:extLst>
            <a:ext uri="{FF2B5EF4-FFF2-40B4-BE49-F238E27FC236}">
              <a16:creationId xmlns:a16="http://schemas.microsoft.com/office/drawing/2014/main" id="{DEFAD8D7-914A-4547-9B41-F6D267D402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91863" y="1195388"/>
          <a:ext cx="1536065"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102595</xdr:colOff>
      <xdr:row>1</xdr:row>
      <xdr:rowOff>76872</xdr:rowOff>
    </xdr:to>
    <xdr:grpSp>
      <xdr:nvGrpSpPr>
        <xdr:cNvPr id="2" name="Group 1">
          <a:extLst>
            <a:ext uri="{FF2B5EF4-FFF2-40B4-BE49-F238E27FC236}">
              <a16:creationId xmlns:a16="http://schemas.microsoft.com/office/drawing/2014/main" id="{6D00B89F-4B2B-48F8-BE24-0750D2B1B83D}"/>
            </a:ext>
          </a:extLst>
        </xdr:cNvPr>
        <xdr:cNvGrpSpPr/>
      </xdr:nvGrpSpPr>
      <xdr:grpSpPr>
        <a:xfrm>
          <a:off x="0" y="0"/>
          <a:ext cx="4730624" cy="278578"/>
          <a:chOff x="0" y="0"/>
          <a:chExt cx="4678578" cy="292661"/>
        </a:xfrm>
      </xdr:grpSpPr>
      <xdr:sp macro="" textlink="">
        <xdr:nvSpPr>
          <xdr:cNvPr id="3" name="Arrow: Pentagon 2">
            <a:hlinkClick xmlns:r="http://schemas.openxmlformats.org/officeDocument/2006/relationships" r:id="rId1"/>
            <a:extLst>
              <a:ext uri="{FF2B5EF4-FFF2-40B4-BE49-F238E27FC236}">
                <a16:creationId xmlns:a16="http://schemas.microsoft.com/office/drawing/2014/main" id="{EC403457-8A67-9A7F-27C5-C0B293D59670}"/>
              </a:ext>
            </a:extLst>
          </xdr:cNvPr>
          <xdr:cNvSpPr/>
        </xdr:nvSpPr>
        <xdr:spPr>
          <a:xfrm>
            <a:off x="2160302" y="1705"/>
            <a:ext cx="2518276" cy="290956"/>
          </a:xfrm>
          <a:prstGeom prst="homePlate">
            <a:avLst/>
          </a:prstGeom>
          <a:solidFill>
            <a:schemeClr val="accent1">
              <a:lumMod val="40000"/>
              <a:lumOff val="60000"/>
            </a:schemeClr>
          </a:solidFill>
          <a:ln>
            <a:solidFill>
              <a:schemeClr val="bg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b="0">
                <a:solidFill>
                  <a:schemeClr val="tx1"/>
                </a:solidFill>
                <a:latin typeface="+mj-lt"/>
              </a:rPr>
              <a:t>Escalation Template</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554110E2-D727-15EE-3F8F-BC1992FFF875}"/>
              </a:ext>
            </a:extLst>
          </xdr:cNvPr>
          <xdr:cNvSpPr/>
        </xdr:nvSpPr>
        <xdr:spPr>
          <a:xfrm>
            <a:off x="0" y="0"/>
            <a:ext cx="2160000" cy="290956"/>
          </a:xfrm>
          <a:prstGeom prst="rect">
            <a:avLst/>
          </a:prstGeom>
          <a:solidFill>
            <a:schemeClr val="accent6"/>
          </a:solidFill>
          <a:ln>
            <a:solidFill>
              <a:schemeClr val="bg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AU" sz="1100">
                <a:solidFill>
                  <a:schemeClr val="tx1"/>
                </a:solidFill>
                <a:latin typeface="+mj-lt"/>
              </a:rPr>
              <a:t>Return to Overview</a:t>
            </a:r>
          </a:p>
        </xdr:txBody>
      </xdr:sp>
    </xdr:grpSp>
    <xdr:clientData/>
  </xdr:twoCellAnchor>
  <xdr:twoCellAnchor editAs="oneCell">
    <xdr:from>
      <xdr:col>3</xdr:col>
      <xdr:colOff>0</xdr:colOff>
      <xdr:row>22</xdr:row>
      <xdr:rowOff>0</xdr:rowOff>
    </xdr:from>
    <xdr:to>
      <xdr:col>11</xdr:col>
      <xdr:colOff>258002</xdr:colOff>
      <xdr:row>37</xdr:row>
      <xdr:rowOff>27262</xdr:rowOff>
    </xdr:to>
    <xdr:graphicFrame macro="">
      <xdr:nvGraphicFramePr>
        <xdr:cNvPr id="7" name="Chart 7">
          <a:extLst>
            <a:ext uri="{FF2B5EF4-FFF2-40B4-BE49-F238E27FC236}">
              <a16:creationId xmlns:a16="http://schemas.microsoft.com/office/drawing/2014/main" id="{21FC09C4-68D2-490E-925F-3A542ABBA6DB}"/>
            </a:ext>
            <a:ext uri="{147F2762-F138-4A5C-976F-8EAC2B608ADB}">
              <a16:predDERef xmlns:a16="http://schemas.microsoft.com/office/drawing/2014/main" pred="{0561372B-D599-4C1C-923B-A7702C6ECA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423072</xdr:colOff>
      <xdr:row>1</xdr:row>
      <xdr:rowOff>73192</xdr:rowOff>
    </xdr:to>
    <xdr:grpSp>
      <xdr:nvGrpSpPr>
        <xdr:cNvPr id="18" name="Group 17">
          <a:extLst>
            <a:ext uri="{FF2B5EF4-FFF2-40B4-BE49-F238E27FC236}">
              <a16:creationId xmlns:a16="http://schemas.microsoft.com/office/drawing/2014/main" id="{6E9B0DB0-A252-A12B-1F61-8F431411F038}"/>
            </a:ext>
          </a:extLst>
        </xdr:cNvPr>
        <xdr:cNvGrpSpPr/>
      </xdr:nvGrpSpPr>
      <xdr:grpSpPr>
        <a:xfrm>
          <a:off x="0" y="0"/>
          <a:ext cx="7128672" cy="273217"/>
          <a:chOff x="0" y="0"/>
          <a:chExt cx="6773072" cy="262180"/>
        </a:xfrm>
      </xdr:grpSpPr>
      <xdr:grpSp>
        <xdr:nvGrpSpPr>
          <xdr:cNvPr id="14" name="Group 13">
            <a:extLst>
              <a:ext uri="{FF2B5EF4-FFF2-40B4-BE49-F238E27FC236}">
                <a16:creationId xmlns:a16="http://schemas.microsoft.com/office/drawing/2014/main" id="{2DF6886C-B5A8-4A89-8636-975D1EB86423}"/>
              </a:ext>
            </a:extLst>
          </xdr:cNvPr>
          <xdr:cNvGrpSpPr/>
        </xdr:nvGrpSpPr>
        <xdr:grpSpPr>
          <a:xfrm>
            <a:off x="0" y="0"/>
            <a:ext cx="4487219" cy="262180"/>
            <a:chOff x="0" y="0"/>
            <a:chExt cx="4678578" cy="292661"/>
          </a:xfrm>
        </xdr:grpSpPr>
        <xdr:sp macro="" textlink="">
          <xdr:nvSpPr>
            <xdr:cNvPr id="15" name="Arrow: Pentagon 14">
              <a:hlinkClick xmlns:r="http://schemas.openxmlformats.org/officeDocument/2006/relationships" r:id="rId1"/>
              <a:extLst>
                <a:ext uri="{FF2B5EF4-FFF2-40B4-BE49-F238E27FC236}">
                  <a16:creationId xmlns:a16="http://schemas.microsoft.com/office/drawing/2014/main" id="{30831069-B547-7E49-B66F-1D6B07608614}"/>
                </a:ext>
              </a:extLst>
            </xdr:cNvPr>
            <xdr:cNvSpPr/>
          </xdr:nvSpPr>
          <xdr:spPr>
            <a:xfrm>
              <a:off x="2160302" y="1705"/>
              <a:ext cx="2518276" cy="290956"/>
            </a:xfrm>
            <a:prstGeom prst="homePlate">
              <a:avLst/>
            </a:prstGeom>
            <a:solidFill>
              <a:schemeClr val="accent1">
                <a:lumMod val="40000"/>
                <a:lumOff val="60000"/>
              </a:schemeClr>
            </a:solidFill>
            <a:ln>
              <a:solidFill>
                <a:schemeClr val="bg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b="0">
                  <a:solidFill>
                    <a:schemeClr val="tx1"/>
                  </a:solidFill>
                  <a:latin typeface="+mj-lt"/>
                </a:rPr>
                <a:t>Escalation Template</a:t>
              </a:r>
            </a:p>
          </xdr:txBody>
        </xdr:sp>
        <xdr:sp macro="" textlink="">
          <xdr:nvSpPr>
            <xdr:cNvPr id="16" name="Rectangle 15">
              <a:hlinkClick xmlns:r="http://schemas.openxmlformats.org/officeDocument/2006/relationships" r:id="rId2"/>
              <a:extLst>
                <a:ext uri="{FF2B5EF4-FFF2-40B4-BE49-F238E27FC236}">
                  <a16:creationId xmlns:a16="http://schemas.microsoft.com/office/drawing/2014/main" id="{C5847862-18A1-6AA5-A428-3499266839EA}"/>
                </a:ext>
              </a:extLst>
            </xdr:cNvPr>
            <xdr:cNvSpPr/>
          </xdr:nvSpPr>
          <xdr:spPr>
            <a:xfrm>
              <a:off x="0" y="0"/>
              <a:ext cx="2160000" cy="290956"/>
            </a:xfrm>
            <a:prstGeom prst="rect">
              <a:avLst/>
            </a:prstGeom>
            <a:solidFill>
              <a:schemeClr val="accent6"/>
            </a:solidFill>
            <a:ln>
              <a:solidFill>
                <a:schemeClr val="bg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AU" sz="1100">
                  <a:solidFill>
                    <a:schemeClr val="tx1"/>
                  </a:solidFill>
                  <a:latin typeface="+mj-lt"/>
                </a:rPr>
                <a:t>Return to Overview</a:t>
              </a:r>
            </a:p>
          </xdr:txBody>
        </xdr:sp>
      </xdr:grpSp>
      <xdr:sp macro="" textlink="">
        <xdr:nvSpPr>
          <xdr:cNvPr id="17" name="Arrow: Chevron 16">
            <a:hlinkClick xmlns:r="http://schemas.openxmlformats.org/officeDocument/2006/relationships" r:id="rId3"/>
            <a:extLst>
              <a:ext uri="{FF2B5EF4-FFF2-40B4-BE49-F238E27FC236}">
                <a16:creationId xmlns:a16="http://schemas.microsoft.com/office/drawing/2014/main" id="{7DFAAACF-88BB-43DA-8D80-A07A5DE313F1}"/>
              </a:ext>
            </a:extLst>
          </xdr:cNvPr>
          <xdr:cNvSpPr/>
        </xdr:nvSpPr>
        <xdr:spPr>
          <a:xfrm>
            <a:off x="4358286" y="0"/>
            <a:ext cx="2414786" cy="260644"/>
          </a:xfrm>
          <a:prstGeom prst="chevron">
            <a:avLst/>
          </a:prstGeom>
          <a:solidFill>
            <a:schemeClr val="accent2"/>
          </a:solidFill>
          <a:ln>
            <a:solidFill>
              <a:schemeClr val="bg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b="0">
                <a:solidFill>
                  <a:schemeClr val="tx1"/>
                </a:solidFill>
                <a:latin typeface="+mj-lt"/>
              </a:rPr>
              <a:t>Underlying Data</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1615284</xdr:colOff>
      <xdr:row>1</xdr:row>
      <xdr:rowOff>71680</xdr:rowOff>
    </xdr:to>
    <xdr:grpSp>
      <xdr:nvGrpSpPr>
        <xdr:cNvPr id="12" name="Group 11">
          <a:extLst>
            <a:ext uri="{FF2B5EF4-FFF2-40B4-BE49-F238E27FC236}">
              <a16:creationId xmlns:a16="http://schemas.microsoft.com/office/drawing/2014/main" id="{53714F59-696A-4928-8BFA-90FABD9647C4}"/>
            </a:ext>
          </a:extLst>
        </xdr:cNvPr>
        <xdr:cNvGrpSpPr/>
      </xdr:nvGrpSpPr>
      <xdr:grpSpPr>
        <a:xfrm>
          <a:off x="0" y="0"/>
          <a:ext cx="7044534" cy="271705"/>
          <a:chOff x="0" y="0"/>
          <a:chExt cx="6773072" cy="262180"/>
        </a:xfrm>
      </xdr:grpSpPr>
      <xdr:grpSp>
        <xdr:nvGrpSpPr>
          <xdr:cNvPr id="13" name="Group 12">
            <a:extLst>
              <a:ext uri="{FF2B5EF4-FFF2-40B4-BE49-F238E27FC236}">
                <a16:creationId xmlns:a16="http://schemas.microsoft.com/office/drawing/2014/main" id="{71201D7E-6C7B-9981-8A35-3A0625D03EFB}"/>
              </a:ext>
            </a:extLst>
          </xdr:cNvPr>
          <xdr:cNvGrpSpPr/>
        </xdr:nvGrpSpPr>
        <xdr:grpSpPr>
          <a:xfrm>
            <a:off x="0" y="0"/>
            <a:ext cx="4487219" cy="262180"/>
            <a:chOff x="0" y="0"/>
            <a:chExt cx="4678578" cy="292661"/>
          </a:xfrm>
        </xdr:grpSpPr>
        <xdr:sp macro="" textlink="">
          <xdr:nvSpPr>
            <xdr:cNvPr id="15" name="Arrow: Pentagon 14">
              <a:hlinkClick xmlns:r="http://schemas.openxmlformats.org/officeDocument/2006/relationships" r:id="rId1"/>
              <a:extLst>
                <a:ext uri="{FF2B5EF4-FFF2-40B4-BE49-F238E27FC236}">
                  <a16:creationId xmlns:a16="http://schemas.microsoft.com/office/drawing/2014/main" id="{0B54D369-3AA4-7A84-1CD2-F7E1B6BFA149}"/>
                </a:ext>
              </a:extLst>
            </xdr:cNvPr>
            <xdr:cNvSpPr/>
          </xdr:nvSpPr>
          <xdr:spPr>
            <a:xfrm>
              <a:off x="2160302" y="1705"/>
              <a:ext cx="2518276" cy="290956"/>
            </a:xfrm>
            <a:prstGeom prst="homePlate">
              <a:avLst/>
            </a:prstGeom>
            <a:solidFill>
              <a:schemeClr val="accent1">
                <a:lumMod val="40000"/>
                <a:lumOff val="60000"/>
              </a:schemeClr>
            </a:solidFill>
            <a:ln>
              <a:solidFill>
                <a:schemeClr val="bg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b="0">
                  <a:solidFill>
                    <a:schemeClr val="tx1"/>
                  </a:solidFill>
                  <a:latin typeface="+mj-lt"/>
                </a:rPr>
                <a:t>Escalation Template</a:t>
              </a:r>
            </a:p>
          </xdr:txBody>
        </xdr:sp>
        <xdr:sp macro="" textlink="">
          <xdr:nvSpPr>
            <xdr:cNvPr id="16" name="Rectangle 15">
              <a:hlinkClick xmlns:r="http://schemas.openxmlformats.org/officeDocument/2006/relationships" r:id="rId2"/>
              <a:extLst>
                <a:ext uri="{FF2B5EF4-FFF2-40B4-BE49-F238E27FC236}">
                  <a16:creationId xmlns:a16="http://schemas.microsoft.com/office/drawing/2014/main" id="{A499F83C-8BEC-89A2-079C-0C9CB53B7A23}"/>
                </a:ext>
              </a:extLst>
            </xdr:cNvPr>
            <xdr:cNvSpPr/>
          </xdr:nvSpPr>
          <xdr:spPr>
            <a:xfrm>
              <a:off x="0" y="0"/>
              <a:ext cx="2160000" cy="290956"/>
            </a:xfrm>
            <a:prstGeom prst="rect">
              <a:avLst/>
            </a:prstGeom>
            <a:solidFill>
              <a:schemeClr val="accent6"/>
            </a:solidFill>
            <a:ln>
              <a:solidFill>
                <a:schemeClr val="bg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AU" sz="1100">
                  <a:solidFill>
                    <a:schemeClr val="tx1"/>
                  </a:solidFill>
                  <a:latin typeface="+mj-lt"/>
                </a:rPr>
                <a:t>Return to Overview</a:t>
              </a:r>
            </a:p>
          </xdr:txBody>
        </xdr:sp>
      </xdr:grpSp>
      <xdr:sp macro="" textlink="">
        <xdr:nvSpPr>
          <xdr:cNvPr id="14" name="Arrow: Chevron 13">
            <a:hlinkClick xmlns:r="http://schemas.openxmlformats.org/officeDocument/2006/relationships" r:id="rId3"/>
            <a:extLst>
              <a:ext uri="{FF2B5EF4-FFF2-40B4-BE49-F238E27FC236}">
                <a16:creationId xmlns:a16="http://schemas.microsoft.com/office/drawing/2014/main" id="{81D9E470-C74D-1770-D354-3C4B67835926}"/>
              </a:ext>
            </a:extLst>
          </xdr:cNvPr>
          <xdr:cNvSpPr/>
        </xdr:nvSpPr>
        <xdr:spPr>
          <a:xfrm>
            <a:off x="4358286" y="0"/>
            <a:ext cx="2414786" cy="260644"/>
          </a:xfrm>
          <a:prstGeom prst="chevron">
            <a:avLst/>
          </a:prstGeom>
          <a:solidFill>
            <a:schemeClr val="accent2"/>
          </a:solidFill>
          <a:ln>
            <a:solidFill>
              <a:schemeClr val="bg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b="0">
                <a:solidFill>
                  <a:schemeClr val="tx1"/>
                </a:solidFill>
                <a:latin typeface="+mj-lt"/>
              </a:rPr>
              <a:t>Underlying Data</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1615284</xdr:colOff>
      <xdr:row>1</xdr:row>
      <xdr:rowOff>71680</xdr:rowOff>
    </xdr:to>
    <xdr:grpSp>
      <xdr:nvGrpSpPr>
        <xdr:cNvPr id="7" name="Group 6">
          <a:extLst>
            <a:ext uri="{FF2B5EF4-FFF2-40B4-BE49-F238E27FC236}">
              <a16:creationId xmlns:a16="http://schemas.microsoft.com/office/drawing/2014/main" id="{E4FC921C-2661-46BE-ABC6-0D82A0F0184C}"/>
            </a:ext>
          </a:extLst>
        </xdr:cNvPr>
        <xdr:cNvGrpSpPr/>
      </xdr:nvGrpSpPr>
      <xdr:grpSpPr>
        <a:xfrm>
          <a:off x="0" y="0"/>
          <a:ext cx="7044534" cy="271705"/>
          <a:chOff x="0" y="0"/>
          <a:chExt cx="6773072" cy="262180"/>
        </a:xfrm>
      </xdr:grpSpPr>
      <xdr:grpSp>
        <xdr:nvGrpSpPr>
          <xdr:cNvPr id="8" name="Group 7">
            <a:extLst>
              <a:ext uri="{FF2B5EF4-FFF2-40B4-BE49-F238E27FC236}">
                <a16:creationId xmlns:a16="http://schemas.microsoft.com/office/drawing/2014/main" id="{F59A68D0-FD0D-DF91-998F-07236A6626F8}"/>
              </a:ext>
            </a:extLst>
          </xdr:cNvPr>
          <xdr:cNvGrpSpPr/>
        </xdr:nvGrpSpPr>
        <xdr:grpSpPr>
          <a:xfrm>
            <a:off x="0" y="0"/>
            <a:ext cx="4487219" cy="262180"/>
            <a:chOff x="0" y="0"/>
            <a:chExt cx="4678578" cy="292661"/>
          </a:xfrm>
        </xdr:grpSpPr>
        <xdr:sp macro="" textlink="">
          <xdr:nvSpPr>
            <xdr:cNvPr id="10" name="Arrow: Pentagon 9">
              <a:hlinkClick xmlns:r="http://schemas.openxmlformats.org/officeDocument/2006/relationships" r:id="rId1"/>
              <a:extLst>
                <a:ext uri="{FF2B5EF4-FFF2-40B4-BE49-F238E27FC236}">
                  <a16:creationId xmlns:a16="http://schemas.microsoft.com/office/drawing/2014/main" id="{B3B63B2B-F021-AD54-7D86-32B33399BD0F}"/>
                </a:ext>
              </a:extLst>
            </xdr:cNvPr>
            <xdr:cNvSpPr/>
          </xdr:nvSpPr>
          <xdr:spPr>
            <a:xfrm>
              <a:off x="2160302" y="1705"/>
              <a:ext cx="2518276" cy="290956"/>
            </a:xfrm>
            <a:prstGeom prst="homePlate">
              <a:avLst/>
            </a:prstGeom>
            <a:solidFill>
              <a:schemeClr val="accent1">
                <a:lumMod val="40000"/>
                <a:lumOff val="60000"/>
              </a:schemeClr>
            </a:solidFill>
            <a:ln>
              <a:solidFill>
                <a:schemeClr val="bg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b="0">
                  <a:solidFill>
                    <a:schemeClr val="tx1"/>
                  </a:solidFill>
                  <a:latin typeface="+mj-lt"/>
                </a:rPr>
                <a:t>Escalation Template</a:t>
              </a:r>
            </a:p>
          </xdr:txBody>
        </xdr:sp>
        <xdr:sp macro="" textlink="">
          <xdr:nvSpPr>
            <xdr:cNvPr id="11" name="Rectangle 10">
              <a:hlinkClick xmlns:r="http://schemas.openxmlformats.org/officeDocument/2006/relationships" r:id="rId2"/>
              <a:extLst>
                <a:ext uri="{FF2B5EF4-FFF2-40B4-BE49-F238E27FC236}">
                  <a16:creationId xmlns:a16="http://schemas.microsoft.com/office/drawing/2014/main" id="{4A6137DD-781F-3F88-EA3F-145A019EB5B8}"/>
                </a:ext>
              </a:extLst>
            </xdr:cNvPr>
            <xdr:cNvSpPr/>
          </xdr:nvSpPr>
          <xdr:spPr>
            <a:xfrm>
              <a:off x="0" y="0"/>
              <a:ext cx="2160000" cy="290956"/>
            </a:xfrm>
            <a:prstGeom prst="rect">
              <a:avLst/>
            </a:prstGeom>
            <a:solidFill>
              <a:schemeClr val="accent6"/>
            </a:solidFill>
            <a:ln>
              <a:solidFill>
                <a:schemeClr val="bg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AU" sz="1100">
                  <a:solidFill>
                    <a:schemeClr val="tx1"/>
                  </a:solidFill>
                  <a:latin typeface="+mj-lt"/>
                </a:rPr>
                <a:t>Return to Overview</a:t>
              </a:r>
            </a:p>
          </xdr:txBody>
        </xdr:sp>
      </xdr:grpSp>
      <xdr:sp macro="" textlink="">
        <xdr:nvSpPr>
          <xdr:cNvPr id="9" name="Arrow: Chevron 8">
            <a:hlinkClick xmlns:r="http://schemas.openxmlformats.org/officeDocument/2006/relationships" r:id="rId3"/>
            <a:extLst>
              <a:ext uri="{FF2B5EF4-FFF2-40B4-BE49-F238E27FC236}">
                <a16:creationId xmlns:a16="http://schemas.microsoft.com/office/drawing/2014/main" id="{E81C8CDF-E448-FC09-3A0E-C8FB3674D9B9}"/>
              </a:ext>
            </a:extLst>
          </xdr:cNvPr>
          <xdr:cNvSpPr/>
        </xdr:nvSpPr>
        <xdr:spPr>
          <a:xfrm>
            <a:off x="4358286" y="0"/>
            <a:ext cx="2414786" cy="260644"/>
          </a:xfrm>
          <a:prstGeom prst="chevron">
            <a:avLst/>
          </a:prstGeom>
          <a:solidFill>
            <a:schemeClr val="accent2"/>
          </a:solidFill>
          <a:ln>
            <a:solidFill>
              <a:schemeClr val="bg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b="0">
                <a:solidFill>
                  <a:schemeClr val="tx1"/>
                </a:solidFill>
                <a:latin typeface="+mj-lt"/>
              </a:rPr>
              <a:t>Underlying Data</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1615284</xdr:colOff>
      <xdr:row>1</xdr:row>
      <xdr:rowOff>71680</xdr:rowOff>
    </xdr:to>
    <xdr:grpSp>
      <xdr:nvGrpSpPr>
        <xdr:cNvPr id="7" name="Group 6">
          <a:extLst>
            <a:ext uri="{FF2B5EF4-FFF2-40B4-BE49-F238E27FC236}">
              <a16:creationId xmlns:a16="http://schemas.microsoft.com/office/drawing/2014/main" id="{06580C74-397F-4006-A215-186E45C0E4F8}"/>
            </a:ext>
          </a:extLst>
        </xdr:cNvPr>
        <xdr:cNvGrpSpPr/>
      </xdr:nvGrpSpPr>
      <xdr:grpSpPr>
        <a:xfrm>
          <a:off x="0" y="0"/>
          <a:ext cx="7044534" cy="271705"/>
          <a:chOff x="0" y="0"/>
          <a:chExt cx="6773072" cy="262180"/>
        </a:xfrm>
      </xdr:grpSpPr>
      <xdr:grpSp>
        <xdr:nvGrpSpPr>
          <xdr:cNvPr id="8" name="Group 7">
            <a:extLst>
              <a:ext uri="{FF2B5EF4-FFF2-40B4-BE49-F238E27FC236}">
                <a16:creationId xmlns:a16="http://schemas.microsoft.com/office/drawing/2014/main" id="{A3824C31-99ED-913F-ACD3-D3B335F8D122}"/>
              </a:ext>
            </a:extLst>
          </xdr:cNvPr>
          <xdr:cNvGrpSpPr/>
        </xdr:nvGrpSpPr>
        <xdr:grpSpPr>
          <a:xfrm>
            <a:off x="0" y="0"/>
            <a:ext cx="4487219" cy="262180"/>
            <a:chOff x="0" y="0"/>
            <a:chExt cx="4678578" cy="292661"/>
          </a:xfrm>
        </xdr:grpSpPr>
        <xdr:sp macro="" textlink="">
          <xdr:nvSpPr>
            <xdr:cNvPr id="10" name="Arrow: Pentagon 9">
              <a:hlinkClick xmlns:r="http://schemas.openxmlformats.org/officeDocument/2006/relationships" r:id="rId1"/>
              <a:extLst>
                <a:ext uri="{FF2B5EF4-FFF2-40B4-BE49-F238E27FC236}">
                  <a16:creationId xmlns:a16="http://schemas.microsoft.com/office/drawing/2014/main" id="{2E1C4BF0-60F8-1C82-DF07-FDAAC46CD4F0}"/>
                </a:ext>
              </a:extLst>
            </xdr:cNvPr>
            <xdr:cNvSpPr/>
          </xdr:nvSpPr>
          <xdr:spPr>
            <a:xfrm>
              <a:off x="2160302" y="1705"/>
              <a:ext cx="2518276" cy="290956"/>
            </a:xfrm>
            <a:prstGeom prst="homePlate">
              <a:avLst/>
            </a:prstGeom>
            <a:solidFill>
              <a:schemeClr val="accent1">
                <a:lumMod val="40000"/>
                <a:lumOff val="60000"/>
              </a:schemeClr>
            </a:solidFill>
            <a:ln>
              <a:solidFill>
                <a:schemeClr val="bg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b="0">
                  <a:solidFill>
                    <a:schemeClr val="tx1"/>
                  </a:solidFill>
                  <a:latin typeface="+mj-lt"/>
                </a:rPr>
                <a:t>Escalation Template</a:t>
              </a:r>
            </a:p>
          </xdr:txBody>
        </xdr:sp>
        <xdr:sp macro="" textlink="">
          <xdr:nvSpPr>
            <xdr:cNvPr id="11" name="Rectangle 10">
              <a:hlinkClick xmlns:r="http://schemas.openxmlformats.org/officeDocument/2006/relationships" r:id="rId2"/>
              <a:extLst>
                <a:ext uri="{FF2B5EF4-FFF2-40B4-BE49-F238E27FC236}">
                  <a16:creationId xmlns:a16="http://schemas.microsoft.com/office/drawing/2014/main" id="{A55952B3-39FB-2AB1-0421-8190C30A7F9C}"/>
                </a:ext>
              </a:extLst>
            </xdr:cNvPr>
            <xdr:cNvSpPr/>
          </xdr:nvSpPr>
          <xdr:spPr>
            <a:xfrm>
              <a:off x="0" y="0"/>
              <a:ext cx="2160000" cy="290956"/>
            </a:xfrm>
            <a:prstGeom prst="rect">
              <a:avLst/>
            </a:prstGeom>
            <a:solidFill>
              <a:schemeClr val="accent6"/>
            </a:solidFill>
            <a:ln>
              <a:solidFill>
                <a:schemeClr val="bg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AU" sz="1100">
                  <a:solidFill>
                    <a:schemeClr val="tx1"/>
                  </a:solidFill>
                  <a:latin typeface="+mj-lt"/>
                </a:rPr>
                <a:t>Return to Overview</a:t>
              </a:r>
            </a:p>
          </xdr:txBody>
        </xdr:sp>
      </xdr:grpSp>
      <xdr:sp macro="" textlink="">
        <xdr:nvSpPr>
          <xdr:cNvPr id="9" name="Arrow: Chevron 8">
            <a:hlinkClick xmlns:r="http://schemas.openxmlformats.org/officeDocument/2006/relationships" r:id="rId3"/>
            <a:extLst>
              <a:ext uri="{FF2B5EF4-FFF2-40B4-BE49-F238E27FC236}">
                <a16:creationId xmlns:a16="http://schemas.microsoft.com/office/drawing/2014/main" id="{2DCD98FD-DAA5-850C-05FB-F19BA1D7BA74}"/>
              </a:ext>
            </a:extLst>
          </xdr:cNvPr>
          <xdr:cNvSpPr/>
        </xdr:nvSpPr>
        <xdr:spPr>
          <a:xfrm>
            <a:off x="4358286" y="0"/>
            <a:ext cx="2414786" cy="260644"/>
          </a:xfrm>
          <a:prstGeom prst="chevron">
            <a:avLst/>
          </a:prstGeom>
          <a:solidFill>
            <a:schemeClr val="accent2"/>
          </a:solidFill>
          <a:ln>
            <a:solidFill>
              <a:schemeClr val="bg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b="0">
                <a:solidFill>
                  <a:schemeClr val="tx1"/>
                </a:solidFill>
                <a:latin typeface="+mj-lt"/>
              </a:rPr>
              <a:t>Underlying Data</a:t>
            </a:r>
          </a:p>
        </xdr:txBody>
      </xdr:sp>
    </xdr:grp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tatum_roth_opv_vic_gov_au/Documents/NEW%20Data%20&amp;%20Analytics%20Team%20Folders/Escalation%20Research%20for%20DTF%20Board/Draft%20report%20-%20June%202023%20update/20230704%20OPV%20Cost%20Research%20202303%20-%20Model%20FINAL.xlsx?27BEA134" TargetMode="External"/><Relationship Id="rId1" Type="http://schemas.openxmlformats.org/officeDocument/2006/relationships/externalLinkPath" Target="file:///\\27BEA134\20230704%20OPV%20Cost%20Research%20202303%20-%20Model%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nding page"/>
      <sheetName val="Overview"/>
      <sheetName val="Summaries &gt;&gt;"/>
      <sheetName val="Summary - Cost categories"/>
      <sheetName val="Summary - Project types"/>
      <sheetName val="Comparison - Cost profiles"/>
      <sheetName val="Inputs &gt;&gt;"/>
      <sheetName val="Assumptions"/>
      <sheetName val="Scenarios &amp; assumptions"/>
      <sheetName val="Available selections"/>
      <sheetName val="Cost profile inputs &gt;&gt;"/>
      <sheetName val="Transport inputs"/>
      <sheetName val="Social infrastructure inputs"/>
      <sheetName val="Index forecast data &gt;&gt;"/>
      <sheetName val="Energy &amp; renewables inputs"/>
      <sheetName val="materialMiningLong"/>
      <sheetName val="primaryMetalLong"/>
      <sheetName val="nonMetalLong"/>
      <sheetName val="labourLong"/>
      <sheetName val="fabMetalLong"/>
      <sheetName val="hvacLong"/>
      <sheetName val="machineLong"/>
      <sheetName val="textileLong"/>
      <sheetName val="woodLong"/>
      <sheetName val="polymerLong"/>
      <sheetName val="heavyCivilLong"/>
      <sheetName val="plumbingLong"/>
      <sheetName val="fuelLong"/>
      <sheetName val="Forecasting &gt;&gt;"/>
      <sheetName val="Cost category forecasts"/>
      <sheetName val="Building group forecasts"/>
      <sheetName val="Cost profiles provided by DCWC"/>
      <sheetName val="Output &gt;&gt;"/>
      <sheetName val="Project type forecasts"/>
      <sheetName val="Report Output - CAGR"/>
      <sheetName val="Report Output - Escalation Rate"/>
      <sheetName val="Report Output - Cost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2">
          <cell r="G12">
            <v>0.04</v>
          </cell>
        </row>
        <row r="14">
          <cell r="G14">
            <v>0.1</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ow r="16">
          <cell r="F16">
            <v>0.05</v>
          </cell>
        </row>
      </sheetData>
      <sheetData sheetId="35" refreshError="1"/>
      <sheetData sheetId="36" refreshError="1"/>
    </sheetDataSet>
  </externalBook>
</externalLink>
</file>

<file path=xl/theme/theme1.xml><?xml version="1.0" encoding="utf-8"?>
<a:theme xmlns:a="http://schemas.openxmlformats.org/drawingml/2006/main" name="DTF - Blue">
  <a:themeElements>
    <a:clrScheme name="DTF corporate blue">
      <a:dk1>
        <a:srgbClr val="232B39"/>
      </a:dk1>
      <a:lt1>
        <a:sysClr val="window" lastClr="FFFFFF"/>
      </a:lt1>
      <a:dk2>
        <a:srgbClr val="3A3467"/>
      </a:dk2>
      <a:lt2>
        <a:srgbClr val="C2EBFA"/>
      </a:lt2>
      <a:accent1>
        <a:srgbClr val="0072CE"/>
      </a:accent1>
      <a:accent2>
        <a:srgbClr val="68CEF2"/>
      </a:accent2>
      <a:accent3>
        <a:srgbClr val="004C97"/>
      </a:accent3>
      <a:accent4>
        <a:srgbClr val="D3D5D7"/>
      </a:accent4>
      <a:accent5>
        <a:srgbClr val="5BBD74"/>
      </a:accent5>
      <a:accent6>
        <a:srgbClr val="D4E15F"/>
      </a:accent6>
      <a:hlink>
        <a:srgbClr val="53565A"/>
      </a:hlink>
      <a:folHlink>
        <a:srgbClr val="999999"/>
      </a:folHlink>
    </a:clrScheme>
    <a:fontScheme name="Brand VIC">
      <a:majorFont>
        <a:latin typeface="VIC SemiBold"/>
        <a:ea typeface=""/>
        <a:cs typeface=""/>
      </a:majorFont>
      <a:minorFont>
        <a:latin typeface="V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tf.vic.gov.au/sites/default/files/document/Risk%2C%20Time%2C%20Cost%20and%20Contingency%20Guidelines.docx" TargetMode="External"/><Relationship Id="rId2" Type="http://schemas.openxmlformats.org/officeDocument/2006/relationships/hyperlink" Target="mailto:andrew.tarrant@dtf.vic.gov.au" TargetMode="External"/><Relationship Id="rId1" Type="http://schemas.openxmlformats.org/officeDocument/2006/relationships/hyperlink" Target="mailto:jamie.jacob@opv.vic.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8FA04-CF4A-4574-90D5-FD3C6D4555C8}">
  <sheetPr codeName="Sheet1">
    <tabColor theme="9"/>
  </sheetPr>
  <dimension ref="A3:K76"/>
  <sheetViews>
    <sheetView showGridLines="0" zoomScaleNormal="100" workbookViewId="0">
      <selection activeCell="A2" sqref="A2"/>
    </sheetView>
  </sheetViews>
  <sheetFormatPr defaultColWidth="9" defaultRowHeight="15.75" x14ac:dyDescent="0.3"/>
  <cols>
    <col min="1" max="1" width="60.59765625" customWidth="1"/>
    <col min="2" max="2" width="8.8984375" customWidth="1"/>
    <col min="3" max="3" width="17.8984375" customWidth="1"/>
    <col min="4" max="4" width="17.19921875" customWidth="1"/>
    <col min="5" max="5" width="9" customWidth="1"/>
  </cols>
  <sheetData>
    <row r="3" spans="1:9" s="24" customFormat="1" ht="20.25" x14ac:dyDescent="0.4">
      <c r="A3" s="23" t="s">
        <v>202</v>
      </c>
    </row>
    <row r="4" spans="1:9" x14ac:dyDescent="0.3">
      <c r="A4" s="7" t="s">
        <v>209</v>
      </c>
    </row>
    <row r="6" spans="1:9" x14ac:dyDescent="0.3">
      <c r="A6" s="7" t="s">
        <v>99</v>
      </c>
    </row>
    <row r="7" spans="1:9" x14ac:dyDescent="0.3">
      <c r="A7" t="s">
        <v>100</v>
      </c>
      <c r="B7" s="16" t="s">
        <v>101</v>
      </c>
      <c r="D7" s="2" t="s">
        <v>102</v>
      </c>
    </row>
    <row r="8" spans="1:9" x14ac:dyDescent="0.3">
      <c r="A8" t="s">
        <v>220</v>
      </c>
      <c r="B8" s="16" t="s">
        <v>215</v>
      </c>
      <c r="D8" s="2" t="s">
        <v>216</v>
      </c>
    </row>
    <row r="10" spans="1:9" x14ac:dyDescent="0.3">
      <c r="A10" s="7" t="s">
        <v>117</v>
      </c>
    </row>
    <row r="11" spans="1:9" x14ac:dyDescent="0.3">
      <c r="A11" s="21" t="s">
        <v>118</v>
      </c>
      <c r="B11" s="22"/>
      <c r="C11" s="22"/>
      <c r="D11" s="22"/>
      <c r="E11" s="22"/>
      <c r="F11" s="22"/>
      <c r="G11" s="22"/>
      <c r="H11" s="22"/>
      <c r="I11" s="22"/>
    </row>
    <row r="12" spans="1:9" x14ac:dyDescent="0.3">
      <c r="A12" s="26" t="s">
        <v>192</v>
      </c>
      <c r="B12" s="26"/>
      <c r="C12" s="26"/>
      <c r="D12" s="26"/>
      <c r="E12" s="26"/>
      <c r="F12" s="26"/>
      <c r="G12" s="26"/>
      <c r="H12" s="26"/>
      <c r="I12" s="26"/>
    </row>
    <row r="13" spans="1:9" x14ac:dyDescent="0.3">
      <c r="A13" s="26" t="s">
        <v>115</v>
      </c>
      <c r="B13" s="29"/>
      <c r="C13" s="26"/>
      <c r="D13" s="26"/>
      <c r="E13" s="26"/>
      <c r="F13" s="26"/>
      <c r="G13" s="26"/>
      <c r="H13" s="26"/>
      <c r="I13" s="26"/>
    </row>
    <row r="14" spans="1:9" x14ac:dyDescent="0.3">
      <c r="A14" s="26" t="s">
        <v>150</v>
      </c>
      <c r="B14" s="30" t="s">
        <v>208</v>
      </c>
      <c r="C14" s="26"/>
      <c r="D14" s="26"/>
      <c r="E14" s="26"/>
      <c r="F14" s="26"/>
      <c r="G14" s="26"/>
      <c r="H14" s="26"/>
      <c r="I14" s="26"/>
    </row>
    <row r="15" spans="1:9" ht="31.5" x14ac:dyDescent="0.3">
      <c r="A15" s="27" t="s">
        <v>187</v>
      </c>
      <c r="B15" s="30" t="s">
        <v>201</v>
      </c>
      <c r="C15" s="26"/>
      <c r="D15" s="26"/>
      <c r="E15" s="26"/>
      <c r="F15" s="26"/>
      <c r="G15" s="26"/>
      <c r="H15" s="26"/>
      <c r="I15" s="26"/>
    </row>
    <row r="16" spans="1:9" ht="47.25" x14ac:dyDescent="0.3">
      <c r="A16" s="27" t="s">
        <v>155</v>
      </c>
      <c r="B16" s="30" t="s">
        <v>116</v>
      </c>
      <c r="C16" s="26"/>
      <c r="D16" s="26"/>
      <c r="E16" s="26"/>
      <c r="F16" s="26"/>
      <c r="G16" s="26"/>
      <c r="H16" s="26"/>
      <c r="I16" s="26"/>
    </row>
    <row r="17" spans="1:11" ht="63" x14ac:dyDescent="0.3">
      <c r="A17" s="27" t="s">
        <v>210</v>
      </c>
      <c r="B17" s="30" t="s">
        <v>211</v>
      </c>
      <c r="C17" s="26"/>
      <c r="D17" s="26"/>
      <c r="E17" s="26"/>
      <c r="F17" s="26"/>
      <c r="G17" s="26"/>
      <c r="H17" s="26"/>
      <c r="I17" s="26"/>
    </row>
    <row r="18" spans="1:11" ht="63" x14ac:dyDescent="0.3">
      <c r="A18" s="31" t="s">
        <v>213</v>
      </c>
      <c r="B18" s="32" t="str">
        <f>"If project duration exceeds "&amp;Lists!$M$3&amp;" years, escalation table can be extended – contact DTF."</f>
        <v>If project duration exceeds 10 years, escalation table can be extended – contact DTF.</v>
      </c>
      <c r="C18" s="20"/>
      <c r="D18" s="20"/>
      <c r="E18" s="20"/>
      <c r="F18" s="20"/>
      <c r="G18" s="20"/>
      <c r="H18" s="20"/>
      <c r="I18" s="20"/>
    </row>
    <row r="19" spans="1:11" x14ac:dyDescent="0.3">
      <c r="A19" s="38" t="s">
        <v>197</v>
      </c>
      <c r="B19" s="39"/>
      <c r="C19" s="39"/>
      <c r="D19" s="39"/>
      <c r="E19" s="39"/>
      <c r="F19" s="39"/>
      <c r="G19" s="39"/>
      <c r="H19" s="39"/>
      <c r="I19" s="39"/>
    </row>
    <row r="20" spans="1:11" x14ac:dyDescent="0.3">
      <c r="A20" s="2" t="s">
        <v>212</v>
      </c>
    </row>
    <row r="21" spans="1:11" x14ac:dyDescent="0.3">
      <c r="A21" t="str">
        <f>"Note that all other cells are locked. All inputs should be provided in "&amp;'Escalation Template'!$B$19&amp;" dollars. Please ensure units used are consistent ($'000, $m, $bn etc)."</f>
        <v>Note that all other cells are locked. All inputs should be provided in 2024 dollars. Please ensure units used are consistent ($'000, $m, $bn etc).</v>
      </c>
    </row>
    <row r="23" spans="1:11" x14ac:dyDescent="0.3">
      <c r="A23" s="7" t="s">
        <v>191</v>
      </c>
    </row>
    <row r="24" spans="1:11" x14ac:dyDescent="0.3">
      <c r="A24" s="97" t="s">
        <v>188</v>
      </c>
      <c r="B24" s="98"/>
      <c r="C24" s="98"/>
      <c r="D24" s="98"/>
      <c r="E24" s="98"/>
      <c r="F24" s="98"/>
      <c r="G24" s="98"/>
      <c r="H24" s="98"/>
      <c r="I24" s="98"/>
      <c r="J24" s="98"/>
      <c r="K24" s="99"/>
    </row>
    <row r="25" spans="1:11" x14ac:dyDescent="0.3">
      <c r="A25" s="97" t="s">
        <v>189</v>
      </c>
      <c r="B25" s="98"/>
      <c r="C25" s="98"/>
      <c r="D25" s="98"/>
      <c r="E25" s="98"/>
      <c r="F25" s="98"/>
      <c r="G25" s="98"/>
      <c r="H25" s="98"/>
      <c r="I25" s="98"/>
      <c r="J25" s="98"/>
      <c r="K25" s="99"/>
    </row>
    <row r="26" spans="1:11" x14ac:dyDescent="0.3">
      <c r="A26" s="101" t="s">
        <v>157</v>
      </c>
      <c r="B26" s="26"/>
      <c r="C26" s="26"/>
      <c r="D26" s="26"/>
      <c r="E26" s="26"/>
      <c r="F26" s="26"/>
      <c r="G26" s="26"/>
      <c r="H26" s="26"/>
      <c r="I26" s="26"/>
      <c r="J26" s="26"/>
      <c r="K26" s="100"/>
    </row>
    <row r="27" spans="1:11" x14ac:dyDescent="0.3">
      <c r="A27" s="101" t="s">
        <v>156</v>
      </c>
      <c r="B27" s="26"/>
      <c r="C27" s="26"/>
      <c r="D27" s="26"/>
      <c r="E27" s="26"/>
      <c r="F27" s="26"/>
      <c r="G27" s="26"/>
      <c r="H27" s="26"/>
      <c r="I27" s="26"/>
      <c r="J27" s="26"/>
      <c r="K27" s="100"/>
    </row>
    <row r="28" spans="1:11" x14ac:dyDescent="0.3">
      <c r="A28" s="102" t="s">
        <v>107</v>
      </c>
      <c r="B28" s="26"/>
      <c r="C28" s="26"/>
      <c r="D28" s="26"/>
      <c r="E28" s="26"/>
      <c r="F28" s="26"/>
      <c r="G28" s="26"/>
      <c r="H28" s="26"/>
      <c r="I28" s="26"/>
      <c r="J28" s="26"/>
      <c r="K28" s="100"/>
    </row>
    <row r="29" spans="1:11" x14ac:dyDescent="0.3">
      <c r="A29" s="106" t="s">
        <v>138</v>
      </c>
      <c r="B29" s="104"/>
      <c r="C29" s="104"/>
      <c r="D29" s="104"/>
      <c r="E29" s="104"/>
      <c r="F29" s="104"/>
      <c r="G29" s="104"/>
      <c r="H29" s="104"/>
      <c r="I29" s="104"/>
      <c r="J29" s="104"/>
      <c r="K29" s="105"/>
    </row>
    <row r="30" spans="1:11" x14ac:dyDescent="0.3">
      <c r="A30" s="103" t="s">
        <v>106</v>
      </c>
      <c r="B30" s="104"/>
      <c r="C30" s="104"/>
      <c r="D30" s="104"/>
      <c r="E30" s="104"/>
      <c r="F30" s="104"/>
      <c r="G30" s="104"/>
      <c r="H30" s="104"/>
      <c r="I30" s="104"/>
      <c r="J30" s="104"/>
      <c r="K30" s="105"/>
    </row>
    <row r="31" spans="1:11" x14ac:dyDescent="0.3">
      <c r="A31" t="s">
        <v>108</v>
      </c>
    </row>
    <row r="33" spans="1:3" x14ac:dyDescent="0.3">
      <c r="A33" s="7" t="s">
        <v>128</v>
      </c>
      <c r="B33" s="2" t="s">
        <v>134</v>
      </c>
    </row>
    <row r="34" spans="1:3" x14ac:dyDescent="0.3">
      <c r="A34" s="36" t="s">
        <v>129</v>
      </c>
      <c r="B34" s="37" t="s">
        <v>130</v>
      </c>
      <c r="C34" s="37" t="s">
        <v>121</v>
      </c>
    </row>
    <row r="35" spans="1:3" x14ac:dyDescent="0.3">
      <c r="A35" s="34" t="s">
        <v>131</v>
      </c>
      <c r="B35" s="35">
        <v>0.31</v>
      </c>
      <c r="C35" s="35">
        <v>0.15</v>
      </c>
    </row>
    <row r="36" spans="1:3" x14ac:dyDescent="0.3">
      <c r="A36" s="34" t="s">
        <v>132</v>
      </c>
      <c r="B36" s="35">
        <v>0.59</v>
      </c>
      <c r="C36" s="35">
        <v>0.8</v>
      </c>
    </row>
    <row r="37" spans="1:3" x14ac:dyDescent="0.3">
      <c r="A37" s="34" t="s">
        <v>133</v>
      </c>
      <c r="B37" s="35">
        <v>0.1</v>
      </c>
      <c r="C37" s="35">
        <v>0.05</v>
      </c>
    </row>
    <row r="39" spans="1:3" x14ac:dyDescent="0.3">
      <c r="A39" s="7" t="s">
        <v>104</v>
      </c>
      <c r="B39" s="2" t="s">
        <v>105</v>
      </c>
      <c r="C39" s="16" t="s">
        <v>162</v>
      </c>
    </row>
    <row r="40" spans="1:3" x14ac:dyDescent="0.3">
      <c r="A40" t="s">
        <v>163</v>
      </c>
    </row>
    <row r="41" spans="1:3" x14ac:dyDescent="0.3">
      <c r="A41" t="s">
        <v>164</v>
      </c>
    </row>
    <row r="42" spans="1:3" x14ac:dyDescent="0.3">
      <c r="A42" t="s">
        <v>161</v>
      </c>
    </row>
    <row r="43" spans="1:3" x14ac:dyDescent="0.3">
      <c r="A43" t="s">
        <v>168</v>
      </c>
    </row>
    <row r="44" spans="1:3" x14ac:dyDescent="0.3">
      <c r="A44" s="40" t="s">
        <v>173</v>
      </c>
    </row>
    <row r="45" spans="1:3" x14ac:dyDescent="0.3">
      <c r="A45" s="40" t="s">
        <v>172</v>
      </c>
    </row>
    <row r="46" spans="1:3" x14ac:dyDescent="0.3">
      <c r="A46" t="s">
        <v>169</v>
      </c>
    </row>
    <row r="47" spans="1:3" x14ac:dyDescent="0.3">
      <c r="A47" s="40" t="s">
        <v>174</v>
      </c>
    </row>
    <row r="48" spans="1:3" x14ac:dyDescent="0.3">
      <c r="A48" s="152" t="s">
        <v>175</v>
      </c>
    </row>
    <row r="49" spans="1:3" x14ac:dyDescent="0.3">
      <c r="A49" s="40" t="s">
        <v>176</v>
      </c>
    </row>
    <row r="50" spans="1:3" ht="15.75" customHeight="1" x14ac:dyDescent="0.3">
      <c r="A50" s="151"/>
    </row>
    <row r="51" spans="1:3" ht="15.75" customHeight="1" x14ac:dyDescent="0.3">
      <c r="A51" s="151"/>
      <c r="C51" s="2" t="s">
        <v>166</v>
      </c>
    </row>
    <row r="52" spans="1:3" ht="15.75" customHeight="1" x14ac:dyDescent="0.3">
      <c r="A52" s="151"/>
    </row>
    <row r="53" spans="1:3" ht="15.75" customHeight="1" x14ac:dyDescent="0.3">
      <c r="A53" s="151"/>
    </row>
    <row r="54" spans="1:3" ht="15.75" customHeight="1" x14ac:dyDescent="0.3">
      <c r="A54" s="151"/>
    </row>
    <row r="55" spans="1:3" ht="15.75" customHeight="1" x14ac:dyDescent="0.3">
      <c r="A55" s="151"/>
      <c r="C55" s="2" t="s">
        <v>167</v>
      </c>
    </row>
    <row r="56" spans="1:3" ht="15.75" customHeight="1" x14ac:dyDescent="0.3">
      <c r="A56" s="151"/>
    </row>
    <row r="57" spans="1:3" ht="15.75" customHeight="1" x14ac:dyDescent="0.3">
      <c r="A57" s="151"/>
    </row>
    <row r="58" spans="1:3" ht="15.75" customHeight="1" x14ac:dyDescent="0.3">
      <c r="A58" s="151"/>
    </row>
    <row r="59" spans="1:3" ht="15.75" customHeight="1" x14ac:dyDescent="0.3">
      <c r="A59" s="151"/>
    </row>
    <row r="60" spans="1:3" ht="15.75" customHeight="1" x14ac:dyDescent="0.3">
      <c r="A60" s="151"/>
    </row>
    <row r="61" spans="1:3" ht="15.75" customHeight="1" x14ac:dyDescent="0.3">
      <c r="A61" s="151"/>
    </row>
    <row r="62" spans="1:3" ht="15.75" customHeight="1" x14ac:dyDescent="0.3">
      <c r="A62" s="151"/>
    </row>
    <row r="63" spans="1:3" ht="15.75" customHeight="1" x14ac:dyDescent="0.3">
      <c r="A63" s="150"/>
    </row>
    <row r="64" spans="1:3" ht="15.75" customHeight="1" x14ac:dyDescent="0.3">
      <c r="A64" s="28"/>
    </row>
    <row r="65" spans="1:7" x14ac:dyDescent="0.3">
      <c r="A65" s="7" t="s">
        <v>109</v>
      </c>
    </row>
    <row r="66" spans="1:7" x14ac:dyDescent="0.3">
      <c r="A66" s="1" t="s">
        <v>170</v>
      </c>
      <c r="B66" s="1"/>
      <c r="C66" s="1"/>
      <c r="D66" s="1"/>
      <c r="E66" s="1"/>
      <c r="F66" s="1"/>
      <c r="G66" s="1"/>
    </row>
    <row r="67" spans="1:7" x14ac:dyDescent="0.3">
      <c r="A67" s="1" t="s">
        <v>171</v>
      </c>
      <c r="B67" s="1"/>
      <c r="C67" s="1"/>
      <c r="D67" s="1"/>
      <c r="E67" s="1"/>
      <c r="F67" s="1"/>
      <c r="G67" s="1"/>
    </row>
    <row r="68" spans="1:7" ht="63" x14ac:dyDescent="0.3">
      <c r="A68" s="18" t="s">
        <v>177</v>
      </c>
      <c r="B68" s="18"/>
      <c r="C68" s="18"/>
      <c r="D68" s="18"/>
      <c r="E68" s="18"/>
      <c r="F68" s="18"/>
      <c r="G68" s="18"/>
    </row>
    <row r="69" spans="1:7" ht="78.75" x14ac:dyDescent="0.3">
      <c r="A69" s="18" t="s">
        <v>219</v>
      </c>
    </row>
    <row r="71" spans="1:7" x14ac:dyDescent="0.3">
      <c r="A71" s="7" t="s">
        <v>204</v>
      </c>
    </row>
    <row r="72" spans="1:7" x14ac:dyDescent="0.3">
      <c r="A72" s="163" t="s">
        <v>207</v>
      </c>
      <c r="B72" s="164" t="s">
        <v>205</v>
      </c>
      <c r="C72" s="164" t="s">
        <v>206</v>
      </c>
    </row>
    <row r="73" spans="1:7" ht="47.25" x14ac:dyDescent="0.3">
      <c r="A73" s="165" t="s">
        <v>217</v>
      </c>
      <c r="B73" s="166" t="s">
        <v>218</v>
      </c>
      <c r="C73" s="167">
        <v>45539</v>
      </c>
    </row>
    <row r="74" spans="1:7" x14ac:dyDescent="0.3">
      <c r="A74" s="18"/>
      <c r="B74" s="18"/>
      <c r="C74" s="18"/>
      <c r="D74" s="18"/>
      <c r="E74" s="18"/>
      <c r="F74" s="18"/>
      <c r="G74" s="18"/>
    </row>
    <row r="75" spans="1:7" x14ac:dyDescent="0.3">
      <c r="A75" s="18"/>
      <c r="B75" s="18"/>
      <c r="C75" s="18"/>
      <c r="D75" s="18"/>
      <c r="E75" s="18"/>
      <c r="F75" s="18"/>
      <c r="G75" s="18"/>
    </row>
    <row r="76" spans="1:7" x14ac:dyDescent="0.3">
      <c r="A76" s="18"/>
      <c r="B76" s="18"/>
      <c r="C76" s="18"/>
      <c r="D76" s="18"/>
      <c r="E76" s="18"/>
      <c r="F76" s="18"/>
      <c r="G76" s="18"/>
    </row>
  </sheetData>
  <sheetProtection sheet="1" objects="1" scenarios="1"/>
  <hyperlinks>
    <hyperlink ref="B7" r:id="rId1" xr:uid="{EDFFB0BC-2F36-45BC-A8B6-03FCC9B89CFF}"/>
    <hyperlink ref="B8" r:id="rId2" xr:uid="{9E6A3215-24F6-422D-9F45-C7FC422DA9BE}"/>
    <hyperlink ref="A11" location="'Escalation Template'!A1" display="1. Go to the 'Escalation Template' page." xr:uid="{70CD9DBE-3D5D-418D-AD70-6B7B95AE73D4}"/>
    <hyperlink ref="C39" r:id="rId3" xr:uid="{E5F4C89A-191E-4356-8248-33EDA153F2FF}"/>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3AAFB-8D04-48DF-831C-75728B20469D}">
  <sheetPr codeName="Sheet9">
    <tabColor theme="4" tint="0.59999389629810485"/>
  </sheetPr>
  <dimension ref="A3:O124"/>
  <sheetViews>
    <sheetView showGridLines="0" tabSelected="1" zoomScale="85" zoomScaleNormal="85" workbookViewId="0">
      <selection activeCell="A4" sqref="A4"/>
    </sheetView>
  </sheetViews>
  <sheetFormatPr defaultColWidth="9.09765625" defaultRowHeight="15.75" x14ac:dyDescent="0.3"/>
  <cols>
    <col min="1" max="1" width="48.59765625" style="1" customWidth="1"/>
    <col min="2" max="2" width="20.59765625" style="45" customWidth="1"/>
    <col min="3" max="3" width="13.09765625" style="1" customWidth="1"/>
    <col min="4" max="4" width="32.59765625" style="45" customWidth="1"/>
    <col min="5" max="14" width="8.59765625" style="45" customWidth="1"/>
    <col min="15" max="15" width="17.59765625" style="45" customWidth="1"/>
    <col min="16" max="16384" width="9.09765625" style="1"/>
  </cols>
  <sheetData>
    <row r="3" spans="1:15" x14ac:dyDescent="0.3">
      <c r="A3" s="43" t="s">
        <v>0</v>
      </c>
      <c r="B3" s="149"/>
      <c r="D3" s="156" t="s">
        <v>192</v>
      </c>
    </row>
    <row r="4" spans="1:15" x14ac:dyDescent="0.3">
      <c r="C4" s="44"/>
      <c r="D4" s="44" t="str">
        <f>"All inputs should be provided in "&amp;$B$19&amp;" dollars. Please ensure units used are consistent ($'000, $m, $bn etc)."</f>
        <v>All inputs should be provided in 2024 dollars. Please ensure units used are consistent ($'000, $m, $bn etc).</v>
      </c>
    </row>
    <row r="5" spans="1:15" x14ac:dyDescent="0.3">
      <c r="A5" s="46" t="s">
        <v>151</v>
      </c>
      <c r="D5" s="67" t="s">
        <v>2</v>
      </c>
      <c r="E5" s="109">
        <v>1</v>
      </c>
      <c r="F5" s="109">
        <v>2</v>
      </c>
      <c r="G5" s="109">
        <v>3</v>
      </c>
      <c r="H5" s="109">
        <v>4</v>
      </c>
      <c r="I5" s="109">
        <v>5</v>
      </c>
      <c r="J5" s="109">
        <v>6</v>
      </c>
      <c r="K5" s="109">
        <v>7</v>
      </c>
      <c r="L5" s="109">
        <v>8</v>
      </c>
      <c r="M5" s="109">
        <v>9</v>
      </c>
      <c r="N5" s="109">
        <v>10</v>
      </c>
      <c r="O5" s="162" cm="1">
        <f t="array" ref="O5">IF($O8=0,Lists!$M$3,_xlfn.XMATCH(TRUE,$E8:N8&lt;&gt;0,0,-1))</f>
        <v>10</v>
      </c>
    </row>
    <row r="6" spans="1:15" x14ac:dyDescent="0.3">
      <c r="A6" s="48" t="s">
        <v>152</v>
      </c>
      <c r="B6" s="49" t="s">
        <v>61</v>
      </c>
      <c r="C6" s="108"/>
      <c r="D6" s="77"/>
      <c r="E6" s="68" t="str">
        <f>Years!B1&amp;"-"&amp;Years!C2</f>
        <v>2024-25</v>
      </c>
      <c r="F6" s="68" t="str">
        <f>Years!C1&amp;"-"&amp;Years!D2</f>
        <v>2025-26</v>
      </c>
      <c r="G6" s="68" t="str">
        <f>Years!D1&amp;"-"&amp;Years!E2</f>
        <v>2026-27</v>
      </c>
      <c r="H6" s="68" t="str">
        <f>Years!E1&amp;"-"&amp;Years!F2</f>
        <v>2027-28</v>
      </c>
      <c r="I6" s="68" t="str">
        <f>Years!F1&amp;"-"&amp;Years!G2</f>
        <v>2028-29</v>
      </c>
      <c r="J6" s="70" t="str">
        <f>Years!G1&amp;"-"&amp;Years!H2</f>
        <v>2029-30</v>
      </c>
      <c r="K6" s="68" t="str">
        <f>Years!H1&amp;"-"&amp;Years!I2</f>
        <v>2030-31</v>
      </c>
      <c r="L6" s="68" t="str">
        <f>Years!I1&amp;"-"&amp;Years!J2</f>
        <v>2031-32</v>
      </c>
      <c r="M6" s="68" t="str">
        <f>Years!J1&amp;"-"&amp;Years!K2</f>
        <v>2032-33</v>
      </c>
      <c r="N6" s="69" t="str">
        <f>Years!K1&amp;"-"&amp;Years!L2</f>
        <v>2033-34</v>
      </c>
      <c r="O6" s="69" t="str" cm="1">
        <f t="array" ref="O6">"Total "&amp;$E6&amp;" to "&amp;INDEX($E6:N6,1,$O$5)</f>
        <v>Total 2024-25 to 2033-34</v>
      </c>
    </row>
    <row r="7" spans="1:15" x14ac:dyDescent="0.3">
      <c r="A7" s="48" t="s">
        <v>21</v>
      </c>
      <c r="B7" s="49" t="s">
        <v>22</v>
      </c>
      <c r="C7" s="108" t="str">
        <f>IF(AND($B$21="Manual",$O7&lt;&gt;$B$10),"(1) &gt;&gt;","")</f>
        <v>(1) &gt;&gt;</v>
      </c>
      <c r="D7" s="72" t="s">
        <v>183</v>
      </c>
      <c r="E7" s="110"/>
      <c r="F7" s="110"/>
      <c r="G7" s="110"/>
      <c r="H7" s="110"/>
      <c r="I7" s="110"/>
      <c r="J7" s="129"/>
      <c r="K7" s="110"/>
      <c r="L7" s="110"/>
      <c r="M7" s="110"/>
      <c r="N7" s="130"/>
      <c r="O7" s="111" t="str">
        <f>IF(COUNT($E7:N7)&gt;0,SUM($E7:N7),"-")</f>
        <v>-</v>
      </c>
    </row>
    <row r="8" spans="1:15" x14ac:dyDescent="0.3">
      <c r="A8" s="48" t="s">
        <v>34</v>
      </c>
      <c r="B8" s="49" t="s">
        <v>51</v>
      </c>
      <c r="C8" s="108" t="str">
        <f>IF($O7="-","",IF(OR($O7&lt;$B$10-Lists!$M$2,$O7&gt;$B$10+Lists!$M$2),"(2) &gt;&gt;",""))</f>
        <v/>
      </c>
      <c r="D8" s="76" t="s">
        <v>184</v>
      </c>
      <c r="E8" s="112" cm="1">
        <f t="array" ref="E8">IF($B$21="Manual",E7,
IF(Years!B$4&lt;='Escalation Template'!$B$18,
IF(OR($B$21="Uniform",$B$18=1),$B$22,
_xlfn.IFS(E$5=1,_xlfn.NORM.DIST(-3+6/$B$18,$B$25,$B$24,TRUE),E$5=$B$18,1-_xlfn.NORM.DIST(-3+6*($B$18-1)/$B$18,$B$25,$B$24,TRUE),TRUE,_xlfn.NORM.DIST(-3+6*E$5/$B$18,$B$25,$B$24,TRUE)-_xlfn.NORM.DIST(-3+6*(E$5-1)/$B$18,$B$25,$B$24,TRUE))*$B$10
),0))</f>
        <v>0</v>
      </c>
      <c r="F8" s="112" cm="1">
        <f t="array" ref="F8">IF($B$21="Manual",F7,
IF(Years!C$4&lt;='Escalation Template'!$B$18,
IF(OR($B$21="Uniform",$B$18=1),$B$22,
_xlfn.IFS(F$5=1,_xlfn.NORM.DIST(-3+6/$B$18,$B$25,$B$24,TRUE),F$5=$B$18,1-_xlfn.NORM.DIST(-3+6*($B$18-1)/$B$18,$B$25,$B$24,TRUE),TRUE,_xlfn.NORM.DIST(-3+6*F$5/$B$18,$B$25,$B$24,TRUE)-_xlfn.NORM.DIST(-3+6*(F$5-1)/$B$18,$B$25,$B$24,TRUE))*$B$10
),0))</f>
        <v>0</v>
      </c>
      <c r="G8" s="112" cm="1">
        <f t="array" ref="G8">IF($B$21="Manual",G7,
IF(Years!D$4&lt;='Escalation Template'!$B$18,
IF(OR($B$21="Uniform",$B$18=1),$B$22,
_xlfn.IFS(G$5=1,_xlfn.NORM.DIST(-3+6/$B$18,$B$25,$B$24,TRUE),G$5=$B$18,1-_xlfn.NORM.DIST(-3+6*($B$18-1)/$B$18,$B$25,$B$24,TRUE),TRUE,_xlfn.NORM.DIST(-3+6*G$5/$B$18,$B$25,$B$24,TRUE)-_xlfn.NORM.DIST(-3+6*(G$5-1)/$B$18,$B$25,$B$24,TRUE))*$B$10
),0))</f>
        <v>0</v>
      </c>
      <c r="H8" s="112" cm="1">
        <f t="array" ref="H8">IF($B$21="Manual",H7,
IF(Years!E$4&lt;='Escalation Template'!$B$18,
IF(OR($B$21="Uniform",$B$18=1),$B$22,
_xlfn.IFS(H$5=1,_xlfn.NORM.DIST(-3+6/$B$18,$B$25,$B$24,TRUE),H$5=$B$18,1-_xlfn.NORM.DIST(-3+6*($B$18-1)/$B$18,$B$25,$B$24,TRUE),TRUE,_xlfn.NORM.DIST(-3+6*H$5/$B$18,$B$25,$B$24,TRUE)-_xlfn.NORM.DIST(-3+6*(H$5-1)/$B$18,$B$25,$B$24,TRUE))*$B$10
),0))</f>
        <v>0</v>
      </c>
      <c r="I8" s="112" cm="1">
        <f t="array" ref="I8">IF($B$21="Manual",I7,
IF(Years!F$4&lt;='Escalation Template'!$B$18,
IF(OR($B$21="Uniform",$B$18=1),$B$22,
_xlfn.IFS(I$5=1,_xlfn.NORM.DIST(-3+6/$B$18,$B$25,$B$24,TRUE),I$5=$B$18,1-_xlfn.NORM.DIST(-3+6*($B$18-1)/$B$18,$B$25,$B$24,TRUE),TRUE,_xlfn.NORM.DIST(-3+6*I$5/$B$18,$B$25,$B$24,TRUE)-_xlfn.NORM.DIST(-3+6*(I$5-1)/$B$18,$B$25,$B$24,TRUE))*$B$10
),0))</f>
        <v>0</v>
      </c>
      <c r="J8" s="131" cm="1">
        <f t="array" ref="J8">IF($B$21="Manual",J7,
IF(Years!G$4&lt;='Escalation Template'!$B$18,
IF(OR($B$21="Uniform",$B$18=1),$B$22,
_xlfn.IFS(J$5=1,_xlfn.NORM.DIST(-3+6/$B$18,$B$25,$B$24,TRUE),J$5=$B$18,1-_xlfn.NORM.DIST(-3+6*($B$18-1)/$B$18,$B$25,$B$24,TRUE),TRUE,_xlfn.NORM.DIST(-3+6*J$5/$B$18,$B$25,$B$24,TRUE)-_xlfn.NORM.DIST(-3+6*(J$5-1)/$B$18,$B$25,$B$24,TRUE))*$B$10
),0))</f>
        <v>0</v>
      </c>
      <c r="K8" s="112" cm="1">
        <f t="array" ref="K8">IF($B$21="Manual",K7,
IF(Years!H$4&lt;='Escalation Template'!$B$18,
IF(OR($B$21="Uniform",$B$18=1),$B$22,
_xlfn.IFS(K$5=1,_xlfn.NORM.DIST(-3+6/$B$18,$B$25,$B$24,TRUE),K$5=$B$18,1-_xlfn.NORM.DIST(-3+6*($B$18-1)/$B$18,$B$25,$B$24,TRUE),TRUE,_xlfn.NORM.DIST(-3+6*K$5/$B$18,$B$25,$B$24,TRUE)-_xlfn.NORM.DIST(-3+6*(K$5-1)/$B$18,$B$25,$B$24,TRUE))*$B$10
),0))</f>
        <v>0</v>
      </c>
      <c r="L8" s="112" cm="1">
        <f t="array" ref="L8">IF($B$21="Manual",L7,
IF(Years!I$4&lt;='Escalation Template'!$B$18,
IF(OR($B$21="Uniform",$B$18=1),$B$22,
_xlfn.IFS(L$5=1,_xlfn.NORM.DIST(-3+6/$B$18,$B$25,$B$24,TRUE),L$5=$B$18,1-_xlfn.NORM.DIST(-3+6*($B$18-1)/$B$18,$B$25,$B$24,TRUE),TRUE,_xlfn.NORM.DIST(-3+6*L$5/$B$18,$B$25,$B$24,TRUE)-_xlfn.NORM.DIST(-3+6*(L$5-1)/$B$18,$B$25,$B$24,TRUE))*$B$10
),0))</f>
        <v>0</v>
      </c>
      <c r="M8" s="112" cm="1">
        <f t="array" ref="M8">IF($B$21="Manual",M7,
IF(Years!J$4&lt;='Escalation Template'!$B$18,
IF(OR($B$21="Uniform",$B$18=1),$B$22,
_xlfn.IFS(M$5=1,_xlfn.NORM.DIST(-3+6/$B$18,$B$25,$B$24,TRUE),M$5=$B$18,1-_xlfn.NORM.DIST(-3+6*($B$18-1)/$B$18,$B$25,$B$24,TRUE),TRUE,_xlfn.NORM.DIST(-3+6*M$5/$B$18,$B$25,$B$24,TRUE)-_xlfn.NORM.DIST(-3+6*(M$5-1)/$B$18,$B$25,$B$24,TRUE))*$B$10
),0))</f>
        <v>0</v>
      </c>
      <c r="N8" s="132" cm="1">
        <f t="array" ref="N8">IF($B$21="Manual",N7,
IF(Years!K$4&lt;='Escalation Template'!$B$18,
IF(OR($B$21="Uniform",$B$18=1),$B$22,
_xlfn.IFS(N$5=1,_xlfn.NORM.DIST(-3+6/$B$18,$B$25,$B$24,TRUE),N$5=$B$18,1-_xlfn.NORM.DIST(-3+6*($B$18-1)/$B$18,$B$25,$B$24,TRUE),TRUE,_xlfn.NORM.DIST(-3+6*N$5/$B$18,$B$25,$B$24,TRUE)-_xlfn.NORM.DIST(-3+6*(N$5-1)/$B$18,$B$25,$B$24,TRUE))*$B$10
),0))</f>
        <v>0</v>
      </c>
      <c r="O8" s="113">
        <f>SUM($E8:N8)</f>
        <v>0</v>
      </c>
    </row>
    <row r="9" spans="1:15" ht="16.5" thickBot="1" x14ac:dyDescent="0.35">
      <c r="A9" s="50" t="s">
        <v>15</v>
      </c>
      <c r="C9" s="108"/>
      <c r="D9" s="72" t="s">
        <v>142</v>
      </c>
      <c r="E9" s="114" t="str">
        <f t="shared" ref="E9:N9" si="0">IF($O15&lt;&gt;"-",E8*E16,"-")</f>
        <v>-</v>
      </c>
      <c r="F9" s="114" t="str">
        <f t="shared" si="0"/>
        <v>-</v>
      </c>
      <c r="G9" s="114" t="str">
        <f t="shared" si="0"/>
        <v>-</v>
      </c>
      <c r="H9" s="114" t="str">
        <f t="shared" si="0"/>
        <v>-</v>
      </c>
      <c r="I9" s="114" t="str">
        <f t="shared" si="0"/>
        <v>-</v>
      </c>
      <c r="J9" s="133" t="str">
        <f t="shared" si="0"/>
        <v>-</v>
      </c>
      <c r="K9" s="114" t="str">
        <f t="shared" si="0"/>
        <v>-</v>
      </c>
      <c r="L9" s="114" t="str">
        <f t="shared" si="0"/>
        <v>-</v>
      </c>
      <c r="M9" s="114" t="str">
        <f t="shared" si="0"/>
        <v>-</v>
      </c>
      <c r="N9" s="134" t="str">
        <f t="shared" si="0"/>
        <v>-</v>
      </c>
      <c r="O9" s="111" t="str">
        <f>IF($O$15&lt;&gt;"-",SUM($E9:N9),"-")</f>
        <v>-</v>
      </c>
    </row>
    <row r="10" spans="1:15" ht="17.25" thickTop="1" thickBot="1" x14ac:dyDescent="0.35">
      <c r="A10" s="42" t="s">
        <v>180</v>
      </c>
      <c r="B10" s="41"/>
      <c r="C10" s="108" t="str">
        <f>IF($B10="","&lt;&lt; (Enter TEI in B10)","")</f>
        <v>&lt;&lt; (Enter TEI in B10)</v>
      </c>
      <c r="D10" s="76" t="s">
        <v>185</v>
      </c>
      <c r="E10" s="115" t="str">
        <f t="shared" ref="E10:O10" si="1">IFERROR(E9+E8,"-")</f>
        <v>-</v>
      </c>
      <c r="F10" s="115" t="str">
        <f t="shared" si="1"/>
        <v>-</v>
      </c>
      <c r="G10" s="115" t="str">
        <f t="shared" si="1"/>
        <v>-</v>
      </c>
      <c r="H10" s="115" t="str">
        <f t="shared" si="1"/>
        <v>-</v>
      </c>
      <c r="I10" s="115" t="str">
        <f t="shared" si="1"/>
        <v>-</v>
      </c>
      <c r="J10" s="135" t="str">
        <f t="shared" si="1"/>
        <v>-</v>
      </c>
      <c r="K10" s="115" t="str">
        <f t="shared" si="1"/>
        <v>-</v>
      </c>
      <c r="L10" s="115" t="str">
        <f t="shared" si="1"/>
        <v>-</v>
      </c>
      <c r="M10" s="115" t="str">
        <f t="shared" si="1"/>
        <v>-</v>
      </c>
      <c r="N10" s="136" t="str">
        <f t="shared" si="1"/>
        <v>-</v>
      </c>
      <c r="O10" s="113" t="str">
        <f t="shared" si="1"/>
        <v>-</v>
      </c>
    </row>
    <row r="11" spans="1:15" ht="16.5" thickTop="1" x14ac:dyDescent="0.3">
      <c r="A11" s="51" t="s">
        <v>158</v>
      </c>
      <c r="B11" s="52">
        <f>O11</f>
        <v>0</v>
      </c>
      <c r="C11" s="108"/>
      <c r="D11" s="73" t="s">
        <v>148</v>
      </c>
      <c r="E11" s="116">
        <f t="shared" ref="E11:N11" si="2">E8*E21</f>
        <v>0</v>
      </c>
      <c r="F11" s="116">
        <f t="shared" si="2"/>
        <v>0</v>
      </c>
      <c r="G11" s="116">
        <f t="shared" si="2"/>
        <v>0</v>
      </c>
      <c r="H11" s="116">
        <f t="shared" si="2"/>
        <v>0</v>
      </c>
      <c r="I11" s="116">
        <f t="shared" si="2"/>
        <v>0</v>
      </c>
      <c r="J11" s="137">
        <f t="shared" si="2"/>
        <v>0</v>
      </c>
      <c r="K11" s="116">
        <f t="shared" si="2"/>
        <v>0</v>
      </c>
      <c r="L11" s="116">
        <f t="shared" si="2"/>
        <v>0</v>
      </c>
      <c r="M11" s="116">
        <f t="shared" si="2"/>
        <v>0</v>
      </c>
      <c r="N11" s="138">
        <f t="shared" si="2"/>
        <v>0</v>
      </c>
      <c r="O11" s="117">
        <f>SUM($E11:N11)</f>
        <v>0</v>
      </c>
    </row>
    <row r="12" spans="1:15" x14ac:dyDescent="0.3">
      <c r="A12" s="86" t="s">
        <v>159</v>
      </c>
      <c r="B12" s="87" t="str">
        <f>O9</f>
        <v>-</v>
      </c>
      <c r="C12" s="108"/>
      <c r="D12" s="74" t="s">
        <v>186</v>
      </c>
      <c r="E12" s="118">
        <f t="shared" ref="E12:N12" si="3">E11+E8</f>
        <v>0</v>
      </c>
      <c r="F12" s="118">
        <f t="shared" si="3"/>
        <v>0</v>
      </c>
      <c r="G12" s="118">
        <f t="shared" si="3"/>
        <v>0</v>
      </c>
      <c r="H12" s="118">
        <f t="shared" si="3"/>
        <v>0</v>
      </c>
      <c r="I12" s="118">
        <f t="shared" si="3"/>
        <v>0</v>
      </c>
      <c r="J12" s="139">
        <f t="shared" si="3"/>
        <v>0</v>
      </c>
      <c r="K12" s="140">
        <f t="shared" si="3"/>
        <v>0</v>
      </c>
      <c r="L12" s="140">
        <f t="shared" si="3"/>
        <v>0</v>
      </c>
      <c r="M12" s="140">
        <f t="shared" si="3"/>
        <v>0</v>
      </c>
      <c r="N12" s="141">
        <f t="shared" si="3"/>
        <v>0</v>
      </c>
      <c r="O12" s="117">
        <f>SUM($E12:N12)</f>
        <v>0</v>
      </c>
    </row>
    <row r="13" spans="1:15" x14ac:dyDescent="0.3">
      <c r="A13" s="84" t="s">
        <v>178</v>
      </c>
      <c r="B13" s="85">
        <f>B10+B11</f>
        <v>0</v>
      </c>
      <c r="C13" s="108"/>
      <c r="D13" s="71" t="s">
        <v>26</v>
      </c>
      <c r="E13" s="119"/>
      <c r="F13" s="119"/>
      <c r="G13" s="119"/>
      <c r="H13" s="119"/>
      <c r="I13" s="119"/>
      <c r="J13" s="119"/>
      <c r="K13" s="119"/>
      <c r="L13" s="119"/>
      <c r="M13" s="119"/>
      <c r="N13" s="119"/>
      <c r="O13" s="120"/>
    </row>
    <row r="14" spans="1:15" x14ac:dyDescent="0.3">
      <c r="A14" s="88" t="s">
        <v>179</v>
      </c>
      <c r="B14" s="89" t="str">
        <f>IFERROR(B10+B12,"-")</f>
        <v>-</v>
      </c>
      <c r="C14" s="108"/>
      <c r="D14" s="75"/>
      <c r="E14" s="68" t="str">
        <f t="shared" ref="E14:N14" si="4">E6</f>
        <v>2024-25</v>
      </c>
      <c r="F14" s="68" t="str">
        <f t="shared" si="4"/>
        <v>2025-26</v>
      </c>
      <c r="G14" s="68" t="str">
        <f t="shared" si="4"/>
        <v>2026-27</v>
      </c>
      <c r="H14" s="68" t="str">
        <f t="shared" si="4"/>
        <v>2027-28</v>
      </c>
      <c r="I14" s="68" t="str">
        <f t="shared" si="4"/>
        <v>2028-29</v>
      </c>
      <c r="J14" s="70" t="str">
        <f t="shared" si="4"/>
        <v>2029-30</v>
      </c>
      <c r="K14" s="68" t="str">
        <f t="shared" si="4"/>
        <v>2030-31</v>
      </c>
      <c r="L14" s="68" t="str">
        <f t="shared" si="4"/>
        <v>2031-32</v>
      </c>
      <c r="M14" s="68" t="str">
        <f t="shared" si="4"/>
        <v>2032-33</v>
      </c>
      <c r="N14" s="69" t="str">
        <f t="shared" si="4"/>
        <v>2033-34</v>
      </c>
      <c r="O14" s="69" t="str" cm="1">
        <f t="array" ref="O14">"Yearly "&amp;$E14&amp;" to "&amp;INDEX($E14:N14,1,$O$5)</f>
        <v>Yearly 2024-25 to 2033-34</v>
      </c>
    </row>
    <row r="15" spans="1:15" x14ac:dyDescent="0.3">
      <c r="A15" s="90" t="s">
        <v>165</v>
      </c>
      <c r="B15" s="91">
        <v>0</v>
      </c>
      <c r="C15" s="108" t="str" cm="1">
        <f t="array" ref="C15">IF(AND($O15&lt;&gt;"-",SUM((_xlfn.SEQUENCE(1,Lists!$M$3-1,2)&lt;=$O$5)*($F15:N15=""))&gt;0),"(3) &gt;&gt;","")</f>
        <v/>
      </c>
      <c r="D15" s="72" t="s">
        <v>149</v>
      </c>
      <c r="E15" s="121"/>
      <c r="F15" s="121"/>
      <c r="G15" s="121"/>
      <c r="H15" s="121"/>
      <c r="I15" s="121"/>
      <c r="J15" s="142"/>
      <c r="K15" s="121"/>
      <c r="L15" s="121"/>
      <c r="M15" s="121"/>
      <c r="N15" s="143"/>
      <c r="O15" s="122" t="str" cm="1">
        <f t="array" ref="O15">IF(COUNT($E15:N15)&gt;0,PRODUCT(1+$F15:N15*(_xlfn.SEQUENCE(1,Lists!$M$3-1,2)&lt;=$O$5))^(1/($O$5-1))-1,"-")</f>
        <v>-</v>
      </c>
    </row>
    <row r="16" spans="1:15" x14ac:dyDescent="0.3">
      <c r="A16" s="84" t="s">
        <v>181</v>
      </c>
      <c r="B16" s="85">
        <f>B15+B13</f>
        <v>0</v>
      </c>
      <c r="C16" s="108"/>
      <c r="D16" s="76" t="s">
        <v>145</v>
      </c>
      <c r="E16" s="153" t="str">
        <f>IF($O$15&lt;&gt;"-",0%,"-")</f>
        <v>-</v>
      </c>
      <c r="F16" s="153" t="str">
        <f t="shared" ref="F16:N16" si="5">IF($O$15&lt;&gt;"-",(1+E16)*(1+F15)-1,"-")</f>
        <v>-</v>
      </c>
      <c r="G16" s="153" t="str">
        <f t="shared" si="5"/>
        <v>-</v>
      </c>
      <c r="H16" s="153" t="str">
        <f t="shared" si="5"/>
        <v>-</v>
      </c>
      <c r="I16" s="153" t="str">
        <f t="shared" si="5"/>
        <v>-</v>
      </c>
      <c r="J16" s="154" t="str">
        <f t="shared" si="5"/>
        <v>-</v>
      </c>
      <c r="K16" s="153" t="str">
        <f t="shared" si="5"/>
        <v>-</v>
      </c>
      <c r="L16" s="153" t="str">
        <f t="shared" si="5"/>
        <v>-</v>
      </c>
      <c r="M16" s="153" t="str">
        <f t="shared" si="5"/>
        <v>-</v>
      </c>
      <c r="N16" s="155" t="str">
        <f t="shared" si="5"/>
        <v>-</v>
      </c>
      <c r="O16" s="78" t="s">
        <v>146</v>
      </c>
    </row>
    <row r="17" spans="1:15" x14ac:dyDescent="0.3">
      <c r="A17" s="88" t="s">
        <v>182</v>
      </c>
      <c r="B17" s="89" t="str">
        <f>IFERROR(B15+B14,"-")</f>
        <v>-</v>
      </c>
      <c r="C17" s="108"/>
      <c r="D17" s="79" t="s">
        <v>214</v>
      </c>
      <c r="E17" s="80"/>
      <c r="F17" s="80"/>
      <c r="G17" s="80"/>
      <c r="H17" s="80"/>
      <c r="I17" s="80"/>
      <c r="J17" s="81"/>
      <c r="K17" s="80"/>
      <c r="L17" s="80"/>
      <c r="M17" s="80"/>
      <c r="N17" s="82"/>
      <c r="O17" s="82"/>
    </row>
    <row r="18" spans="1:15" x14ac:dyDescent="0.3">
      <c r="A18" s="51" t="s">
        <v>153</v>
      </c>
      <c r="B18" s="53">
        <f>MAX(B20-B19,1)</f>
        <v>5</v>
      </c>
      <c r="C18" s="108" t="str">
        <f>IF($B18&gt;Lists!$M$3,"&lt;&lt; (4)","")</f>
        <v/>
      </c>
      <c r="D18" s="73" t="s">
        <v>17</v>
      </c>
      <c r="E18" s="123" cm="1">
        <f t="array" ref="E18">_xlfn.IFNA(_xlfn.XLOOKUP($B$6&amp;" - "&amp;$B$7&amp;" - "&amp;$B$8,'U75 forecasts'!$F$9:$F$108,
_xlfn.XLOOKUP(E$14,'U75 forecasts'!$G$8:$AE$8,'U75 forecasts'!$G$9:$AE$108)),D18)</f>
        <v>5.074913801784265E-2</v>
      </c>
      <c r="F18" s="123" cm="1">
        <f t="array" ref="F18">_xlfn.IFNA(_xlfn.XLOOKUP($B$6&amp;" - "&amp;$B$7&amp;" - "&amp;$B$8,'U75 forecasts'!$F$9:$F$108,
_xlfn.XLOOKUP(F$14,'U75 forecasts'!$G$8:$AE$8,'U75 forecasts'!$G$9:$AE$108)),E18)</f>
        <v>4.4534011640454736E-2</v>
      </c>
      <c r="G18" s="123" cm="1">
        <f t="array" ref="G18">_xlfn.IFNA(_xlfn.XLOOKUP($B$6&amp;" - "&amp;$B$7&amp;" - "&amp;$B$8,'U75 forecasts'!$F$9:$F$108,
_xlfn.XLOOKUP(G$14,'U75 forecasts'!$G$8:$AE$8,'U75 forecasts'!$G$9:$AE$108)),F18)</f>
        <v>3.6539588738191318E-2</v>
      </c>
      <c r="H18" s="123" cm="1">
        <f t="array" ref="H18">_xlfn.IFNA(_xlfn.XLOOKUP($B$6&amp;" - "&amp;$B$7&amp;" - "&amp;$B$8,'U75 forecasts'!$F$9:$F$108,
_xlfn.XLOOKUP(H$14,'U75 forecasts'!$G$8:$AE$8,'U75 forecasts'!$G$9:$AE$108)),G18)</f>
        <v>3.3116143562923417E-2</v>
      </c>
      <c r="I18" s="123" cm="1">
        <f t="array" ref="I18">_xlfn.IFNA(_xlfn.XLOOKUP($B$6&amp;" - "&amp;$B$7&amp;" - "&amp;$B$8,'U75 forecasts'!$F$9:$F$108,
_xlfn.XLOOKUP(I$14,'U75 forecasts'!$G$8:$AE$8,'U75 forecasts'!$G$9:$AE$108)),H18)</f>
        <v>3.1880470354376134E-2</v>
      </c>
      <c r="J18" s="144" cm="1">
        <f t="array" ref="J18">_xlfn.IFNA(_xlfn.XLOOKUP($B$6&amp;" - "&amp;$B$7&amp;" - "&amp;$B$8,'U75 forecasts'!$F$9:$F$108,
_xlfn.XLOOKUP(J$14,'U75 forecasts'!$G$8:$AE$8,'U75 forecasts'!$G$9:$AE$108)),I18)</f>
        <v>3.0937290235913829E-2</v>
      </c>
      <c r="K18" s="123" cm="1">
        <f t="array" ref="K18">_xlfn.IFNA(_xlfn.XLOOKUP($B$6&amp;" - "&amp;$B$7&amp;" - "&amp;$B$8,'U75 forecasts'!$F$9:$F$108,
_xlfn.XLOOKUP(K$14,'U75 forecasts'!$G$8:$AE$8,'U75 forecasts'!$G$9:$AE$108)),J18)</f>
        <v>3.0053197645352261E-2</v>
      </c>
      <c r="L18" s="123" cm="1">
        <f t="array" ref="L18">_xlfn.IFNA(_xlfn.XLOOKUP($B$6&amp;" - "&amp;$B$7&amp;" - "&amp;$B$8,'U75 forecasts'!$F$9:$F$108,
_xlfn.XLOOKUP(L$14,'U75 forecasts'!$G$8:$AE$8,'U75 forecasts'!$G$9:$AE$108)),K18)</f>
        <v>2.93320556065883E-2</v>
      </c>
      <c r="M18" s="123" cm="1">
        <f t="array" ref="M18">_xlfn.IFNA(_xlfn.XLOOKUP($B$6&amp;" - "&amp;$B$7&amp;" - "&amp;$B$8,'U75 forecasts'!$F$9:$F$108,
_xlfn.XLOOKUP(M$14,'U75 forecasts'!$G$8:$AE$8,'U75 forecasts'!$G$9:$AE$108)),L18)</f>
        <v>2.8742068612693739E-2</v>
      </c>
      <c r="N18" s="145" cm="1">
        <f t="array" ref="N18">_xlfn.IFNA(_xlfn.XLOOKUP($B$6&amp;" - "&amp;$B$7&amp;" - "&amp;$B$8,'U75 forecasts'!$F$9:$F$108,
_xlfn.XLOOKUP(N$14,'U75 forecasts'!$G$8:$AE$8,'U75 forecasts'!$G$9:$AE$108)),M18)</f>
        <v>2.8742068612693739E-2</v>
      </c>
      <c r="O18" s="124" cm="1">
        <f t="array" ref="O18">PRODUCT(1+$F18:N18*(_xlfn.SEQUENCE(1,Lists!$M$3-1,2)&lt;=$O$5))^(1/($O$5-1))-1</f>
        <v>3.2641830394949611E-2</v>
      </c>
    </row>
    <row r="19" spans="1:15" x14ac:dyDescent="0.3">
      <c r="A19" s="51" t="s">
        <v>154</v>
      </c>
      <c r="B19" s="54">
        <v>2024</v>
      </c>
      <c r="C19" s="108"/>
      <c r="D19" s="73" t="s">
        <v>123</v>
      </c>
      <c r="E19" s="125" cm="1">
        <f t="array" ref="E19">_xlfn.IFNA(_xlfn.XLOOKUP($B$6&amp;" - "&amp;$B$7&amp;" - "&amp;$B$8,'Recommended scenario forecasts'!$F$9:$F$108,
_xlfn.XLOOKUP(E$14,'Recommended scenario forecasts'!$G$8:$AE$8,'Recommended scenario forecasts'!$G$9:$AE$108)),D19)</f>
        <v>3.0814696661639687E-2</v>
      </c>
      <c r="F19" s="125" cm="1">
        <f t="array" ref="F19">_xlfn.IFNA(_xlfn.XLOOKUP($B$6&amp;" - "&amp;$B$7&amp;" - "&amp;$B$8,'Recommended scenario forecasts'!$F$9:$F$108,
_xlfn.XLOOKUP(F$14,'Recommended scenario forecasts'!$G$8:$AE$8,'Recommended scenario forecasts'!$G$9:$AE$108)),E19)</f>
        <v>3.2276538733472193E-2</v>
      </c>
      <c r="G19" s="125" cm="1">
        <f t="array" ref="G19">_xlfn.IFNA(_xlfn.XLOOKUP($B$6&amp;" - "&amp;$B$7&amp;" - "&amp;$B$8,'Recommended scenario forecasts'!$F$9:$F$108,
_xlfn.XLOOKUP(G$14,'Recommended scenario forecasts'!$G$8:$AE$8,'Recommended scenario forecasts'!$G$9:$AE$108)),F19)</f>
        <v>3.1620733528348932E-2</v>
      </c>
      <c r="H19" s="125" cm="1">
        <f t="array" ref="H19">_xlfn.IFNA(_xlfn.XLOOKUP($B$6&amp;" - "&amp;$B$7&amp;" - "&amp;$B$8,'Recommended scenario forecasts'!$F$9:$F$108,
_xlfn.XLOOKUP(H$14,'Recommended scenario forecasts'!$G$8:$AE$8,'Recommended scenario forecasts'!$G$9:$AE$108)),G19)</f>
        <v>3.0285725982208377E-2</v>
      </c>
      <c r="I19" s="125" cm="1">
        <f t="array" ref="I19">_xlfn.IFNA(_xlfn.XLOOKUP($B$6&amp;" - "&amp;$B$7&amp;" - "&amp;$B$8,'Recommended scenario forecasts'!$F$9:$F$108,
_xlfn.XLOOKUP(I$14,'Recommended scenario forecasts'!$G$8:$AE$8,'Recommended scenario forecasts'!$G$9:$AE$108)),H19)</f>
        <v>2.9715385654370947E-2</v>
      </c>
      <c r="J19" s="146" cm="1">
        <f t="array" ref="J19">_xlfn.IFNA(_xlfn.XLOOKUP($B$6&amp;" - "&amp;$B$7&amp;" - "&amp;$B$8,'Recommended scenario forecasts'!$F$9:$F$108,
_xlfn.XLOOKUP(J$14,'Recommended scenario forecasts'!$G$8:$AE$8,'Recommended scenario forecasts'!$G$9:$AE$108)),I19)</f>
        <v>2.913812023826012E-2</v>
      </c>
      <c r="K19" s="125" cm="1">
        <f t="array" ref="K19">_xlfn.IFNA(_xlfn.XLOOKUP($B$6&amp;" - "&amp;$B$7&amp;" - "&amp;$B$8,'Recommended scenario forecasts'!$F$9:$F$108,
_xlfn.XLOOKUP(K$14,'Recommended scenario forecasts'!$G$8:$AE$8,'Recommended scenario forecasts'!$G$9:$AE$108)),J19)</f>
        <v>2.8513562035154275E-2</v>
      </c>
      <c r="L19" s="125" cm="1">
        <f t="array" ref="L19">_xlfn.IFNA(_xlfn.XLOOKUP($B$6&amp;" - "&amp;$B$7&amp;" - "&amp;$B$8,'Recommended scenario forecasts'!$F$9:$F$108,
_xlfn.XLOOKUP(L$14,'Recommended scenario forecasts'!$G$8:$AE$8,'Recommended scenario forecasts'!$G$9:$AE$108)),K19)</f>
        <v>2.7990170563059597E-2</v>
      </c>
      <c r="M19" s="125" cm="1">
        <f t="array" ref="M19">_xlfn.IFNA(_xlfn.XLOOKUP($B$6&amp;" - "&amp;$B$7&amp;" - "&amp;$B$8,'Recommended scenario forecasts'!$F$9:$F$108,
_xlfn.XLOOKUP(M$14,'Recommended scenario forecasts'!$G$8:$AE$8,'Recommended scenario forecasts'!$G$9:$AE$108)),L19)</f>
        <v>2.7559937440454856E-2</v>
      </c>
      <c r="N19" s="147" cm="1">
        <f t="array" ref="N19">_xlfn.IFNA(_xlfn.XLOOKUP($B$6&amp;" - "&amp;$B$7&amp;" - "&amp;$B$8,'Recommended scenario forecasts'!$F$9:$F$108,
_xlfn.XLOOKUP(N$14,'Recommended scenario forecasts'!$G$8:$AE$8,'Recommended scenario forecasts'!$G$9:$AE$108)),M19)</f>
        <v>2.7559937440454856E-2</v>
      </c>
      <c r="O19" s="124" cm="1">
        <f t="array" ref="O19">PRODUCT(1+$F19:N19*(_xlfn.SEQUENCE(1,Lists!$M$3-1,2)&lt;=$O$5))^(1/($O$5-1))-1</f>
        <v>2.9405400496884004E-2</v>
      </c>
    </row>
    <row r="20" spans="1:15" x14ac:dyDescent="0.3">
      <c r="A20" s="86" t="s">
        <v>199</v>
      </c>
      <c r="B20" s="92">
        <v>2029</v>
      </c>
      <c r="C20" s="108" t="str">
        <f>IF($B20&lt;$B19,"&lt;&lt; (5)","")</f>
        <v/>
      </c>
      <c r="D20" s="73" t="s">
        <v>18</v>
      </c>
      <c r="E20" s="123" cm="1">
        <f t="array" ref="E20">_xlfn.IFNA(_xlfn.XLOOKUP($B$6&amp;" - "&amp;$B$7&amp;" - "&amp;$B$8,'L75 forecasts'!$F$9:$F$108,
_xlfn.XLOOKUP(E$14,'L75 forecasts'!$G$8:$AE$8,'L75 forecasts'!$G$9:$AE$108)),D20)</f>
        <v>2.8488813852652053E-3</v>
      </c>
      <c r="F20" s="123" cm="1">
        <f t="array" ref="F20">_xlfn.IFNA(_xlfn.XLOOKUP($B$6&amp;" - "&amp;$B$7&amp;" - "&amp;$B$8,'L75 forecasts'!$F$9:$F$108,
_xlfn.XLOOKUP(F$14,'L75 forecasts'!$G$8:$AE$8,'L75 forecasts'!$G$9:$AE$108)),E20)</f>
        <v>1.6947739476776198E-2</v>
      </c>
      <c r="G20" s="123" cm="1">
        <f t="array" ref="G20">_xlfn.IFNA(_xlfn.XLOOKUP($B$6&amp;" - "&amp;$B$7&amp;" - "&amp;$B$8,'L75 forecasts'!$F$9:$F$108,
_xlfn.XLOOKUP(G$14,'L75 forecasts'!$G$8:$AE$8,'L75 forecasts'!$G$9:$AE$108)),F20)</f>
        <v>2.2846729490728336E-2</v>
      </c>
      <c r="H20" s="123" cm="1">
        <f t="array" ref="H20">_xlfn.IFNA(_xlfn.XLOOKUP($B$6&amp;" - "&amp;$B$7&amp;" - "&amp;$B$8,'L75 forecasts'!$F$9:$F$108,
_xlfn.XLOOKUP(H$14,'L75 forecasts'!$G$8:$AE$8,'L75 forecasts'!$G$9:$AE$108)),G20)</f>
        <v>2.3897253861756725E-2</v>
      </c>
      <c r="I20" s="123" cm="1">
        <f t="array" ref="I20">_xlfn.IFNA(_xlfn.XLOOKUP($B$6&amp;" - "&amp;$B$7&amp;" - "&amp;$B$8,'L75 forecasts'!$F$9:$F$108,
_xlfn.XLOOKUP(I$14,'L75 forecasts'!$G$8:$AE$8,'L75 forecasts'!$G$9:$AE$108)),H20)</f>
        <v>2.4374527825046646E-2</v>
      </c>
      <c r="J20" s="144" cm="1">
        <f t="array" ref="J20">_xlfn.IFNA(_xlfn.XLOOKUP($B$6&amp;" - "&amp;$B$7&amp;" - "&amp;$B$8,'L75 forecasts'!$F$9:$F$108,
_xlfn.XLOOKUP(J$14,'L75 forecasts'!$G$8:$AE$8,'L75 forecasts'!$G$9:$AE$108)),I20)</f>
        <v>2.4584176398599587E-2</v>
      </c>
      <c r="K20" s="123" cm="1">
        <f t="array" ref="K20">_xlfn.IFNA(_xlfn.XLOOKUP($B$6&amp;" - "&amp;$B$7&amp;" - "&amp;$B$8,'L75 forecasts'!$F$9:$F$108,
_xlfn.XLOOKUP(K$14,'L75 forecasts'!$G$8:$AE$8,'L75 forecasts'!$G$9:$AE$108)),J20)</f>
        <v>2.4584618460240043E-2</v>
      </c>
      <c r="L20" s="123" cm="1">
        <f t="array" ref="L20">_xlfn.IFNA(_xlfn.XLOOKUP($B$6&amp;" - "&amp;$B$7&amp;" - "&amp;$B$8,'L75 forecasts'!$F$9:$F$108,
_xlfn.XLOOKUP(L$14,'L75 forecasts'!$G$8:$AE$8,'L75 forecasts'!$G$9:$AE$108)),K20)</f>
        <v>2.4520059835681618E-2</v>
      </c>
      <c r="M20" s="123" cm="1">
        <f t="array" ref="M20">_xlfn.IFNA(_xlfn.XLOOKUP($B$6&amp;" - "&amp;$B$7&amp;" - "&amp;$B$8,'L75 forecasts'!$F$9:$F$108,
_xlfn.XLOOKUP(M$14,'L75 forecasts'!$G$8:$AE$8,'L75 forecasts'!$G$9:$AE$108)),L20)</f>
        <v>2.4449279000864403E-2</v>
      </c>
      <c r="N20" s="145" cm="1">
        <f t="array" ref="N20">_xlfn.IFNA(_xlfn.XLOOKUP($B$6&amp;" - "&amp;$B$7&amp;" - "&amp;$B$8,'L75 forecasts'!$F$9:$F$108,
_xlfn.XLOOKUP(N$14,'L75 forecasts'!$G$8:$AE$8,'L75 forecasts'!$G$9:$AE$108)),M20)</f>
        <v>2.4449279000864403E-2</v>
      </c>
      <c r="O20" s="124" cm="1">
        <f t="array" ref="O20">PRODUCT(1+$F20:N20*(_xlfn.SEQUENCE(1,Lists!$M$3-1,2)&lt;=$O$5))^(1/($O$5-1))-1</f>
        <v>2.3403271813906334E-2</v>
      </c>
    </row>
    <row r="21" spans="1:15" x14ac:dyDescent="0.3">
      <c r="A21" s="93" t="s">
        <v>190</v>
      </c>
      <c r="B21" s="94" t="s">
        <v>114</v>
      </c>
      <c r="C21" s="108" t="str">
        <f>IF(AND($B21&lt;&gt;"Manual",$O$7&lt;&gt;"-"),"&lt;&lt; (6)","")</f>
        <v/>
      </c>
      <c r="D21" s="83" t="s">
        <v>137</v>
      </c>
      <c r="E21" s="126">
        <v>0</v>
      </c>
      <c r="F21" s="126">
        <f>(1+E21)*(1+F19)-1</f>
        <v>3.2276538733472249E-2</v>
      </c>
      <c r="G21" s="126">
        <f t="shared" ref="G21:N21" si="6">(1+F21)*(1+G19)-1</f>
        <v>6.4917880092329794E-2</v>
      </c>
      <c r="H21" s="126">
        <f t="shared" si="6"/>
        <v>9.716969120236052E-2</v>
      </c>
      <c r="I21" s="126">
        <f t="shared" si="6"/>
        <v>0.12977251170472592</v>
      </c>
      <c r="J21" s="127">
        <f t="shared" si="6"/>
        <v>0.16269195899265942</v>
      </c>
      <c r="K21" s="126">
        <f t="shared" si="6"/>
        <v>0.1958444482931716</v>
      </c>
      <c r="L21" s="126">
        <f t="shared" si="6"/>
        <v>0.22931633836778542</v>
      </c>
      <c r="M21" s="126">
        <f t="shared" si="6"/>
        <v>0.26319621974773066</v>
      </c>
      <c r="N21" s="128">
        <f t="shared" si="6"/>
        <v>0.29800982853899738</v>
      </c>
      <c r="O21" s="128" t="s">
        <v>146</v>
      </c>
    </row>
    <row r="22" spans="1:15" x14ac:dyDescent="0.3">
      <c r="A22" s="51" t="s">
        <v>160</v>
      </c>
      <c r="B22" s="53">
        <f>IFERROR(B10/B18,B10)</f>
        <v>0</v>
      </c>
      <c r="C22" s="108"/>
      <c r="E22" s="55" t="str">
        <f>IFERROR(SUM($E8:E8)/$B$10,"")</f>
        <v/>
      </c>
      <c r="F22" s="55" t="str">
        <f>IFERROR(SUM($E8:F8)/$B$10,"")</f>
        <v/>
      </c>
      <c r="G22" s="55" t="str">
        <f>IFERROR(SUM($E8:G8)/$B$10,"")</f>
        <v/>
      </c>
      <c r="H22" s="55" t="str">
        <f>IFERROR(SUM($E8:H8)/$B$10,"")</f>
        <v/>
      </c>
      <c r="I22" s="55" t="str">
        <f>IFERROR(SUM($E8:I8)/$B$10,"")</f>
        <v/>
      </c>
      <c r="J22" s="55" t="str">
        <f>IFERROR(SUM($E8:J8)/$B$10,"")</f>
        <v/>
      </c>
      <c r="K22" s="55" t="str">
        <f>IFERROR(SUM($E8:K8)/$B$10,"")</f>
        <v/>
      </c>
      <c r="L22" s="55" t="str">
        <f>IFERROR(SUM($E8:L8)/$B$10,"")</f>
        <v/>
      </c>
      <c r="M22" s="55" t="str">
        <f>IFERROR(SUM($E8:M8)/$B$10,"")</f>
        <v/>
      </c>
      <c r="N22" s="55" t="str">
        <f>IFERROR(SUM($E8:N8)/$B$10,"")</f>
        <v/>
      </c>
    </row>
    <row r="23" spans="1:15" x14ac:dyDescent="0.3">
      <c r="A23" s="158" t="s">
        <v>200</v>
      </c>
      <c r="B23" s="53"/>
      <c r="C23" s="108"/>
      <c r="E23" s="55" t="str">
        <f t="shared" ref="E23:N23" si="7">IFERROR(E8/$B$10,"")</f>
        <v/>
      </c>
      <c r="F23" s="55" t="str">
        <f t="shared" si="7"/>
        <v/>
      </c>
      <c r="G23" s="55" t="str">
        <f t="shared" si="7"/>
        <v/>
      </c>
      <c r="H23" s="55" t="str">
        <f t="shared" si="7"/>
        <v/>
      </c>
      <c r="I23" s="55" t="str">
        <f t="shared" si="7"/>
        <v/>
      </c>
      <c r="J23" s="55" t="str">
        <f t="shared" si="7"/>
        <v/>
      </c>
      <c r="K23" s="55" t="str">
        <f t="shared" si="7"/>
        <v/>
      </c>
      <c r="L23" s="55" t="str">
        <f t="shared" si="7"/>
        <v/>
      </c>
      <c r="M23" s="55" t="str">
        <f t="shared" si="7"/>
        <v/>
      </c>
      <c r="N23" s="55" t="str">
        <f t="shared" si="7"/>
        <v/>
      </c>
    </row>
    <row r="24" spans="1:15" x14ac:dyDescent="0.3">
      <c r="A24" s="157" t="s">
        <v>196</v>
      </c>
      <c r="B24" s="95">
        <v>1.32</v>
      </c>
      <c r="C24" s="108"/>
      <c r="E24" s="56">
        <f t="shared" ref="E24:N24" si="8">IF($E$39="Recommended",E11,IF($E$39="User Input",E9,#N/A))</f>
        <v>0</v>
      </c>
      <c r="F24" s="56">
        <f t="shared" si="8"/>
        <v>0</v>
      </c>
      <c r="G24" s="56">
        <f t="shared" si="8"/>
        <v>0</v>
      </c>
      <c r="H24" s="56">
        <f t="shared" si="8"/>
        <v>0</v>
      </c>
      <c r="I24" s="56">
        <f t="shared" si="8"/>
        <v>0</v>
      </c>
      <c r="J24" s="56">
        <f t="shared" si="8"/>
        <v>0</v>
      </c>
      <c r="K24" s="56">
        <f t="shared" si="8"/>
        <v>0</v>
      </c>
      <c r="L24" s="56">
        <f t="shared" si="8"/>
        <v>0</v>
      </c>
      <c r="M24" s="56">
        <f t="shared" si="8"/>
        <v>0</v>
      </c>
      <c r="N24" s="56">
        <f t="shared" si="8"/>
        <v>0</v>
      </c>
    </row>
    <row r="25" spans="1:15" x14ac:dyDescent="0.3">
      <c r="A25" s="157" t="s">
        <v>193</v>
      </c>
      <c r="B25" s="96">
        <v>0.23</v>
      </c>
      <c r="C25" s="108"/>
    </row>
    <row r="26" spans="1:15" x14ac:dyDescent="0.3">
      <c r="A26" s="159" t="s">
        <v>194</v>
      </c>
      <c r="B26" s="160">
        <f>1+B18/6*(B25+3)</f>
        <v>3.6916666666666669</v>
      </c>
      <c r="C26" s="108"/>
    </row>
    <row r="27" spans="1:15" x14ac:dyDescent="0.3">
      <c r="A27" s="159" t="s">
        <v>195</v>
      </c>
      <c r="B27" s="161">
        <f>1-_xlfn.NORM.DIST(-3+6*($B$18-1)/$B$18,$B$25,$B$24,TRUE)</f>
        <v>0.11714234230816789</v>
      </c>
      <c r="C27" s="108"/>
    </row>
    <row r="28" spans="1:15" x14ac:dyDescent="0.3">
      <c r="A28" s="47" t="s">
        <v>147</v>
      </c>
      <c r="B28" s="7">
        <f>ROWS($C6:$C27)-COUNTBLANK($C6:$C27)</f>
        <v>2</v>
      </c>
      <c r="C28" s="107"/>
    </row>
    <row r="29" spans="1:15" x14ac:dyDescent="0.3">
      <c r="A29" s="172" t="str">
        <f>IF($C$7&lt;&gt;"","(1) Enter manual project budget profile in cells E7 to N7.","")</f>
        <v>(1) Enter manual project budget profile in cells E7 to N7.</v>
      </c>
      <c r="B29" s="172"/>
      <c r="C29" s="107"/>
    </row>
    <row r="30" spans="1:15" x14ac:dyDescent="0.3">
      <c r="A30" s="172" t="str">
        <f>IF($C$8&lt;&gt;"","(2) Manual project budget inputs in cells E7 to N7 do not add up to total in cell B10 ("&amp;Lists!$M$2&amp;" tolerance).","")</f>
        <v/>
      </c>
      <c r="B30" s="172"/>
      <c r="C30" s="107"/>
    </row>
    <row r="31" spans="1:15" ht="15" customHeight="1" x14ac:dyDescent="0.3">
      <c r="A31" s="172" t="str">
        <f>IF($C$15&lt;&gt;"","(3) Enter annual escalation rates for each year until the final year of expenditure.","")</f>
        <v/>
      </c>
      <c r="B31" s="172"/>
    </row>
    <row r="32" spans="1:15" ht="15" customHeight="1" x14ac:dyDescent="0.3">
      <c r="A32" s="172" t="str">
        <f>IF($C$18&lt;&gt;"","(4) Escalation table can be extended for projects with duration over "&amp;Lists!$M$3&amp;" years – contact DTF.","")</f>
        <v/>
      </c>
      <c r="B32" s="172"/>
      <c r="D32" s="1"/>
      <c r="E32" s="1"/>
      <c r="F32" s="1"/>
      <c r="G32" s="1"/>
      <c r="H32" s="1"/>
      <c r="I32" s="1"/>
      <c r="J32" s="1"/>
      <c r="K32" s="1"/>
      <c r="L32" s="1"/>
      <c r="M32" s="1"/>
      <c r="N32" s="1"/>
      <c r="O32" s="1"/>
    </row>
    <row r="33" spans="1:15" ht="15" customHeight="1" x14ac:dyDescent="0.3">
      <c r="A33" s="172" t="str">
        <f>IF($C$20&lt;&gt;"","(5) End year should not be prior to start year. Project duration assumed to be 1 year.","")</f>
        <v/>
      </c>
      <c r="B33" s="172"/>
      <c r="D33" s="1"/>
      <c r="E33" s="1"/>
      <c r="F33" s="1"/>
      <c r="G33" s="1"/>
      <c r="H33" s="1"/>
      <c r="I33" s="1"/>
      <c r="J33" s="1"/>
      <c r="K33" s="1"/>
      <c r="L33" s="1"/>
      <c r="M33" s="1"/>
      <c r="N33" s="1"/>
      <c r="O33" s="1"/>
    </row>
    <row r="34" spans="1:15" x14ac:dyDescent="0.3">
      <c r="A34" s="172" t="str">
        <f>IF($C$21&lt;&gt;"","(6) To use user input project budget profile, ensure 'Manual' expenditure profile is selected in cell B21.","")</f>
        <v/>
      </c>
      <c r="B34" s="172"/>
      <c r="D34" s="1"/>
      <c r="E34" s="1"/>
      <c r="F34" s="1"/>
      <c r="G34" s="1"/>
      <c r="H34" s="1"/>
      <c r="I34" s="1"/>
      <c r="J34" s="1"/>
      <c r="L34" s="1"/>
      <c r="M34" s="1"/>
      <c r="N34" s="1"/>
      <c r="O34" s="1"/>
    </row>
    <row r="35" spans="1:15" x14ac:dyDescent="0.3">
      <c r="A35"/>
      <c r="B35"/>
      <c r="G35" s="1"/>
      <c r="H35" s="1"/>
      <c r="I35" s="1"/>
      <c r="K35" s="1"/>
      <c r="L35" s="1"/>
      <c r="M35" s="1"/>
      <c r="N35" s="1"/>
      <c r="O35" s="1"/>
    </row>
    <row r="36" spans="1:15" x14ac:dyDescent="0.3">
      <c r="G36" s="1"/>
      <c r="H36" s="1"/>
      <c r="I36" s="1"/>
      <c r="J36" s="1"/>
      <c r="K36" s="1"/>
      <c r="L36" s="1"/>
      <c r="M36" s="1"/>
      <c r="N36" s="1"/>
      <c r="O36" s="1"/>
    </row>
    <row r="37" spans="1:15" x14ac:dyDescent="0.3">
      <c r="G37" s="1"/>
      <c r="H37" s="1"/>
      <c r="I37" s="1"/>
      <c r="J37" s="1"/>
      <c r="K37" s="1"/>
      <c r="L37" s="1"/>
      <c r="M37" s="1"/>
      <c r="N37" s="1"/>
      <c r="O37" s="1"/>
    </row>
    <row r="38" spans="1:15" x14ac:dyDescent="0.3">
      <c r="D38" s="44" t="s">
        <v>203</v>
      </c>
      <c r="E38" s="1"/>
      <c r="F38" s="1"/>
      <c r="G38" s="1"/>
      <c r="H38" s="1"/>
      <c r="I38" s="1"/>
      <c r="J38" s="1"/>
      <c r="K38" s="1"/>
      <c r="L38" s="1"/>
      <c r="M38" s="1"/>
      <c r="N38" s="1"/>
      <c r="O38" s="1"/>
    </row>
    <row r="39" spans="1:15" x14ac:dyDescent="0.3">
      <c r="D39" s="57" t="s">
        <v>111</v>
      </c>
      <c r="E39" s="171" t="s">
        <v>144</v>
      </c>
      <c r="F39" s="171"/>
      <c r="G39" s="1"/>
      <c r="H39" s="1"/>
      <c r="I39" s="1"/>
      <c r="J39" s="1"/>
      <c r="K39" s="1"/>
      <c r="L39" s="1"/>
      <c r="M39" s="1"/>
      <c r="N39" s="1"/>
      <c r="O39" s="1"/>
    </row>
    <row r="40" spans="1:15" x14ac:dyDescent="0.3">
      <c r="D40" s="58" t="s">
        <v>136</v>
      </c>
      <c r="E40" s="44" t="s">
        <v>135</v>
      </c>
      <c r="F40" s="59"/>
      <c r="G40" s="1"/>
      <c r="H40" s="1"/>
      <c r="I40" s="1"/>
      <c r="J40" s="1"/>
      <c r="K40" s="1"/>
      <c r="L40" s="1"/>
      <c r="M40" s="1"/>
      <c r="N40" s="1"/>
      <c r="O40" s="1"/>
    </row>
    <row r="41" spans="1:15" x14ac:dyDescent="0.3">
      <c r="D41" s="60" t="s">
        <v>129</v>
      </c>
      <c r="E41" s="61" t="s">
        <v>130</v>
      </c>
      <c r="F41" s="61" t="s">
        <v>121</v>
      </c>
      <c r="G41" s="1"/>
      <c r="H41" s="1"/>
      <c r="I41" s="1"/>
      <c r="J41" s="1"/>
      <c r="K41" s="1"/>
      <c r="L41" s="1"/>
      <c r="M41" s="1"/>
      <c r="N41" s="1"/>
      <c r="O41" s="1"/>
    </row>
    <row r="42" spans="1:15" x14ac:dyDescent="0.3">
      <c r="D42" s="62" t="s">
        <v>131</v>
      </c>
      <c r="E42" s="63">
        <v>0.31</v>
      </c>
      <c r="F42" s="63">
        <f>_xlfn.NORM.DIST(-3+6*$E42,$B$25,$B$24,TRUE)</f>
        <v>0.14966324510245638</v>
      </c>
      <c r="G42" s="1"/>
      <c r="H42" s="1"/>
      <c r="I42" s="1"/>
      <c r="J42" s="1"/>
      <c r="K42" s="1"/>
      <c r="L42" s="1"/>
      <c r="M42" s="1"/>
      <c r="N42" s="1"/>
      <c r="O42" s="1"/>
    </row>
    <row r="43" spans="1:15" x14ac:dyDescent="0.3">
      <c r="D43" s="62" t="s">
        <v>132</v>
      </c>
      <c r="E43" s="63">
        <v>0.59</v>
      </c>
      <c r="F43" s="63">
        <f>_xlfn.NORM.DIST(-3+6*SUM($E42:$E43),$B$25,$B$24,TRUE)-F42</f>
        <v>0.80024239397230046</v>
      </c>
      <c r="G43" s="1"/>
      <c r="H43" s="1"/>
      <c r="I43" s="1"/>
      <c r="J43" s="1"/>
      <c r="K43" s="1"/>
      <c r="L43" s="1"/>
      <c r="M43" s="1"/>
      <c r="N43" s="1"/>
      <c r="O43" s="1"/>
    </row>
    <row r="44" spans="1:15" x14ac:dyDescent="0.3">
      <c r="D44" s="62" t="s">
        <v>133</v>
      </c>
      <c r="E44" s="63">
        <v>0.1</v>
      </c>
      <c r="F44" s="63">
        <f>1-SUM(F42:F43)</f>
        <v>5.0094360925243109E-2</v>
      </c>
      <c r="G44" s="1"/>
      <c r="H44" s="1"/>
      <c r="I44" s="1"/>
      <c r="J44" s="1"/>
      <c r="K44" s="1"/>
      <c r="L44" s="1"/>
      <c r="M44" s="1"/>
      <c r="N44" s="1"/>
      <c r="O44" s="1"/>
    </row>
    <row r="45" spans="1:15" x14ac:dyDescent="0.3">
      <c r="D45" s="64" t="s">
        <v>16</v>
      </c>
      <c r="E45" s="65">
        <f>SUM(E42:E44)</f>
        <v>0.99999999999999989</v>
      </c>
      <c r="F45" s="65">
        <f>SUM(F42:F44)</f>
        <v>1</v>
      </c>
      <c r="G45" s="1"/>
      <c r="H45" s="1"/>
      <c r="I45" s="1"/>
      <c r="J45" s="1"/>
      <c r="K45" s="1"/>
      <c r="L45" s="1"/>
      <c r="M45" s="1"/>
      <c r="N45" s="1"/>
      <c r="O45" s="1"/>
    </row>
    <row r="46" spans="1:15" x14ac:dyDescent="0.3">
      <c r="G46" s="1"/>
      <c r="H46" s="1"/>
      <c r="I46" s="1"/>
      <c r="J46" s="1"/>
      <c r="K46" s="1"/>
      <c r="L46" s="1"/>
      <c r="M46" s="1"/>
      <c r="N46" s="1"/>
      <c r="O46" s="1"/>
    </row>
    <row r="47" spans="1:15" x14ac:dyDescent="0.3">
      <c r="G47" s="1"/>
      <c r="H47" s="1"/>
      <c r="I47" s="1"/>
      <c r="J47" s="1"/>
      <c r="K47" s="1"/>
      <c r="L47" s="1"/>
      <c r="M47" s="1"/>
      <c r="N47" s="1"/>
      <c r="O47" s="1"/>
    </row>
    <row r="92" spans="8:8" x14ac:dyDescent="0.3">
      <c r="H92" s="66"/>
    </row>
    <row r="93" spans="8:8" x14ac:dyDescent="0.3">
      <c r="H93" s="66"/>
    </row>
    <row r="94" spans="8:8" x14ac:dyDescent="0.3">
      <c r="H94" s="66"/>
    </row>
    <row r="95" spans="8:8" x14ac:dyDescent="0.3">
      <c r="H95" s="66"/>
    </row>
    <row r="96" spans="8:8" x14ac:dyDescent="0.3">
      <c r="H96" s="66"/>
    </row>
    <row r="97" spans="8:8" x14ac:dyDescent="0.3">
      <c r="H97" s="66"/>
    </row>
    <row r="98" spans="8:8" x14ac:dyDescent="0.3">
      <c r="H98" s="66"/>
    </row>
    <row r="99" spans="8:8" x14ac:dyDescent="0.3">
      <c r="H99" s="66"/>
    </row>
    <row r="100" spans="8:8" x14ac:dyDescent="0.3">
      <c r="H100" s="66"/>
    </row>
    <row r="101" spans="8:8" x14ac:dyDescent="0.3">
      <c r="H101" s="66"/>
    </row>
    <row r="102" spans="8:8" x14ac:dyDescent="0.3">
      <c r="H102" s="66"/>
    </row>
    <row r="103" spans="8:8" x14ac:dyDescent="0.3">
      <c r="H103" s="66"/>
    </row>
    <row r="104" spans="8:8" x14ac:dyDescent="0.3">
      <c r="H104" s="66"/>
    </row>
    <row r="105" spans="8:8" x14ac:dyDescent="0.3">
      <c r="H105" s="66"/>
    </row>
    <row r="106" spans="8:8" x14ac:dyDescent="0.3">
      <c r="H106" s="66"/>
    </row>
    <row r="107" spans="8:8" x14ac:dyDescent="0.3">
      <c r="H107" s="66"/>
    </row>
    <row r="108" spans="8:8" x14ac:dyDescent="0.3">
      <c r="H108" s="66"/>
    </row>
    <row r="109" spans="8:8" x14ac:dyDescent="0.3">
      <c r="H109" s="66"/>
    </row>
    <row r="110" spans="8:8" x14ac:dyDescent="0.3">
      <c r="H110" s="66"/>
    </row>
    <row r="111" spans="8:8" x14ac:dyDescent="0.3">
      <c r="H111" s="66"/>
    </row>
    <row r="112" spans="8:8" x14ac:dyDescent="0.3">
      <c r="H112" s="66"/>
    </row>
    <row r="113" spans="8:8" x14ac:dyDescent="0.3">
      <c r="H113" s="66"/>
    </row>
    <row r="114" spans="8:8" x14ac:dyDescent="0.3">
      <c r="H114" s="66"/>
    </row>
    <row r="115" spans="8:8" x14ac:dyDescent="0.3">
      <c r="H115" s="66"/>
    </row>
    <row r="116" spans="8:8" x14ac:dyDescent="0.3">
      <c r="H116" s="66"/>
    </row>
    <row r="117" spans="8:8" x14ac:dyDescent="0.3">
      <c r="H117" s="66"/>
    </row>
    <row r="118" spans="8:8" x14ac:dyDescent="0.3">
      <c r="H118" s="66"/>
    </row>
    <row r="119" spans="8:8" x14ac:dyDescent="0.3">
      <c r="H119" s="66"/>
    </row>
    <row r="120" spans="8:8" x14ac:dyDescent="0.3">
      <c r="H120" s="66"/>
    </row>
    <row r="121" spans="8:8" x14ac:dyDescent="0.3">
      <c r="H121" s="66"/>
    </row>
    <row r="122" spans="8:8" x14ac:dyDescent="0.3">
      <c r="H122" s="66"/>
    </row>
    <row r="123" spans="8:8" x14ac:dyDescent="0.3">
      <c r="H123" s="66"/>
    </row>
    <row r="124" spans="8:8" x14ac:dyDescent="0.3">
      <c r="H124" s="66"/>
    </row>
  </sheetData>
  <sheetProtection sheet="1" objects="1" scenarios="1"/>
  <protectedRanges>
    <protectedRange sqref="E7:N7 E15:N15" name="Manual"/>
    <protectedRange sqref="E39" name="Chart"/>
    <protectedRange sqref="B20:B21 B10 B15 B24:B25 B6:B8 B3" name="Inputs"/>
  </protectedRanges>
  <scenarios current="0" show="0">
    <scenario name="Default" locked="1" count="8" user="Lawrence Chen (DTF)" comment="Restores all inputs to default state.">
      <inputCells r="B3" val=""/>
      <inputCells r="B6" val="Bridge"/>
      <inputCells r="B7" val="Regional"/>
      <inputCells r="B8" val="&lt;$250 mil"/>
      <inputCells r="B10" val=""/>
      <inputCells r="B15" val="0" numFmtId="3"/>
      <inputCells r="B20" val="2029" numFmtId="1"/>
      <inputCells r="B21" val="Manual"/>
    </scenario>
    <scenario name="Default Table" locked="1" count="20" user="Lawrence Chen (DTF)" comment="Restores all values in table to default (ie blank base cost estimates and annual rates).">
      <inputCells r="E7" val=""/>
      <inputCells r="F7" val=""/>
      <inputCells r="G7" val=""/>
      <inputCells r="H7" val=""/>
      <inputCells r="I7" val=""/>
      <inputCells r="J7" val=""/>
      <inputCells r="K7" val=""/>
      <inputCells r="L7" val=""/>
      <inputCells r="M7" val=""/>
      <inputCells r="N7" val=""/>
      <inputCells r="E15" val=""/>
      <inputCells r="F15" val=""/>
      <inputCells r="G15" val=""/>
      <inputCells r="H15" val=""/>
      <inputCells r="I15" val=""/>
      <inputCells r="J15" val=""/>
      <inputCells r="K15" val=""/>
      <inputCells r="L15" val=""/>
      <inputCells r="M15" val=""/>
      <inputCells r="N15" val=""/>
    </scenario>
    <scenario name="Default S-Curve" locked="1" count="2" user="Lawrence Chen (DTF)" comment="Restores S-Curve parameters to default (SD = 1.32, Skew = 0.23).">
      <inputCells r="B24" val="1.32" numFmtId="2"/>
      <inputCells r="B25" val="0.23" numFmtId="2"/>
    </scenario>
  </scenarios>
  <mergeCells count="7">
    <mergeCell ref="E39:F39"/>
    <mergeCell ref="A29:B29"/>
    <mergeCell ref="A30:B30"/>
    <mergeCell ref="A32:B32"/>
    <mergeCell ref="A33:B33"/>
    <mergeCell ref="A34:B34"/>
    <mergeCell ref="A31:B31"/>
  </mergeCells>
  <conditionalFormatting sqref="A28">
    <cfRule type="expression" dxfId="6" priority="15">
      <formula>$B28=0</formula>
    </cfRule>
  </conditionalFormatting>
  <conditionalFormatting sqref="A29:A34 C6:C27">
    <cfRule type="cellIs" dxfId="5" priority="10" operator="notEqual">
      <formula>""</formula>
    </cfRule>
  </conditionalFormatting>
  <conditionalFormatting sqref="A31:A34">
    <cfRule type="cellIs" dxfId="4" priority="4" stopIfTrue="1" operator="notEqual">
      <formula>""</formula>
    </cfRule>
  </conditionalFormatting>
  <conditionalFormatting sqref="C15 C18 C20:C21">
    <cfRule type="cellIs" dxfId="3" priority="2" stopIfTrue="1" operator="notEqual">
      <formula>""</formula>
    </cfRule>
  </conditionalFormatting>
  <conditionalFormatting sqref="F15:N15">
    <cfRule type="expression" dxfId="2" priority="14">
      <formula>(COLUMNS($F15:F15)+1)&lt;=$O$5</formula>
    </cfRule>
  </conditionalFormatting>
  <conditionalFormatting sqref="O7">
    <cfRule type="cellIs" priority="11" stopIfTrue="1" operator="equal">
      <formula>"-"</formula>
    </cfRule>
  </conditionalFormatting>
  <dataValidations count="4">
    <dataValidation type="custom" operator="greaterThanOrEqual" allowBlank="1" showInputMessage="1" showErrorMessage="1" sqref="E7:N7" xr:uid="{4AC85AE9-B54F-486E-B3C3-2D1DBC99A072}">
      <formula1>ISNUMBER(E7)</formula1>
    </dataValidation>
    <dataValidation type="custom" allowBlank="1" showInputMessage="1" showErrorMessage="1" sqref="E15:N15 B10" xr:uid="{05CD9609-C868-46CC-9862-A93EAC23FD21}">
      <formula1>ISNUMBER(B10)</formula1>
    </dataValidation>
    <dataValidation type="decimal" operator="greaterThan" showInputMessage="1" showErrorMessage="1" sqref="B24" xr:uid="{479D9312-EBBC-499C-8C93-910FEFCF7383}">
      <formula1>0</formula1>
    </dataValidation>
    <dataValidation type="custom" showInputMessage="1" showErrorMessage="1" sqref="B25 B19:B20 B15" xr:uid="{55363EB3-6794-4596-BF29-AABB3DC8509F}">
      <formula1>ISNUMBER(B15)</formula1>
    </dataValidation>
  </dataValidations>
  <pageMargins left="0.7" right="0.7" top="0.75" bottom="0.75" header="0.3" footer="0.3"/>
  <pageSetup paperSize="9" orientation="portrait" r:id="rId1"/>
  <headerFooter>
    <oddFooter>&amp;L&amp;1#&amp;"Calibri"&amp;11&amp;K000000OFFICIAL: Sensitive</oddFooter>
  </headerFooter>
  <drawing r:id="rId2"/>
  <extLst>
    <ext xmlns:x14="http://schemas.microsoft.com/office/spreadsheetml/2009/9/main" uri="{78C0D931-6437-407d-A8EE-F0AAD7539E65}">
      <x14:conditionalFormattings>
        <x14:conditionalFormatting xmlns:xm="http://schemas.microsoft.com/office/excel/2006/main">
          <x14:cfRule type="cellIs" priority="12" stopIfTrue="1" operator="notBetween" id="{B8A13200-3B60-41CA-94D1-D6405A3F66BE}">
            <xm:f>$B$10-Lists!$M$2</xm:f>
            <xm:f>$B$10+Lists!$M$2</xm:f>
            <x14:dxf>
              <font>
                <color rgb="FF9C0006"/>
              </font>
              <fill>
                <patternFill>
                  <bgColor rgb="FFFFC7CE"/>
                </patternFill>
              </fill>
            </x14:dxf>
          </x14:cfRule>
          <x14:cfRule type="cellIs" priority="13" stopIfTrue="1" operator="between" id="{5B35C64D-7A27-4D4B-A593-9120E33AF381}">
            <xm:f>$B$10-Lists!$M$2</xm:f>
            <xm:f>$B$10+Lists!$M$2</xm:f>
            <x14:dxf>
              <font>
                <color rgb="FF006100"/>
              </font>
              <fill>
                <patternFill>
                  <bgColor rgb="FFC6EFCE"/>
                </patternFill>
              </fill>
            </x14:dxf>
          </x14:cfRule>
          <xm:sqref>O7</xm:sqref>
        </x14:conditionalFormatting>
      </x14:conditionalFormattings>
    </ext>
    <ext xmlns:x14="http://schemas.microsoft.com/office/spreadsheetml/2009/9/main" uri="{CCE6A557-97BC-4b89-ADB6-D9C93CAAB3DF}">
      <x14:dataValidations xmlns:xm="http://schemas.microsoft.com/office/excel/2006/main" count="5">
        <x14:dataValidation type="list" showInputMessage="1" showErrorMessage="1" xr:uid="{A340A899-4D41-48A4-8262-57DBAAB40700}">
          <x14:formula1>
            <xm:f>Lists!$D$2:$D$4</xm:f>
          </x14:formula1>
          <xm:sqref>E39</xm:sqref>
        </x14:dataValidation>
        <x14:dataValidation type="list" allowBlank="1" showInputMessage="1" showErrorMessage="1" xr:uid="{2F410DFF-E6CB-4170-8480-BE078BDB1C25}">
          <x14:formula1>
            <xm:f>Lists!$F$2:$F$11</xm:f>
          </x14:formula1>
          <xm:sqref>B6</xm:sqref>
        </x14:dataValidation>
        <x14:dataValidation type="list" allowBlank="1" showInputMessage="1" showErrorMessage="1" xr:uid="{491E9DE2-2783-4082-B59C-05F6DD0930F7}">
          <x14:formula1>
            <xm:f>Lists!$G$2:$G$3</xm:f>
          </x14:formula1>
          <xm:sqref>B7</xm:sqref>
        </x14:dataValidation>
        <x14:dataValidation type="list" allowBlank="1" showInputMessage="1" showErrorMessage="1" xr:uid="{EF939C69-8D43-4E12-975A-7A9C623B8C09}">
          <x14:formula1>
            <xm:f>Lists!$H$2:$H$6</xm:f>
          </x14:formula1>
          <xm:sqref>B8</xm:sqref>
        </x14:dataValidation>
        <x14:dataValidation type="list" showInputMessage="1" showErrorMessage="1" xr:uid="{62E67005-1C4F-4788-8544-D95CA7C025FC}">
          <x14:formula1>
            <xm:f>Lists!$C$2:$C$4</xm:f>
          </x14:formula1>
          <xm:sqref>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D59D9-8911-40F6-B082-9D1F8488DD54}">
  <sheetPr codeName="Sheet3">
    <tabColor theme="3" tint="0.59999389629810485"/>
  </sheetPr>
  <dimension ref="A1:M25"/>
  <sheetViews>
    <sheetView topLeftCell="I1" workbookViewId="0">
      <selection activeCell="L7" sqref="L7"/>
    </sheetView>
  </sheetViews>
  <sheetFormatPr defaultColWidth="8.796875" defaultRowHeight="15.75" x14ac:dyDescent="0.3"/>
  <cols>
    <col min="1" max="1" width="16.59765625" style="1" customWidth="1"/>
    <col min="2" max="2" width="15.59765625" style="1" customWidth="1"/>
    <col min="3" max="3" width="27.09765625" style="1" customWidth="1"/>
    <col min="4" max="4" width="14.19921875" style="1" bestFit="1" customWidth="1"/>
    <col min="5" max="5" width="8.796875" style="1"/>
    <col min="6" max="6" width="21.59765625" style="1" customWidth="1"/>
    <col min="7" max="7" width="9.19921875" style="1" customWidth="1"/>
    <col min="8" max="8" width="14.09765625" style="1" customWidth="1"/>
    <col min="9" max="9" width="8.796875" style="1"/>
    <col min="10" max="10" width="46.796875" style="1" customWidth="1"/>
    <col min="11" max="11" width="8.796875" style="1"/>
    <col min="12" max="12" width="27.8984375" style="1" bestFit="1" customWidth="1"/>
    <col min="13" max="16384" width="8.796875" style="1"/>
  </cols>
  <sheetData>
    <row r="1" spans="1:13" s="7" customFormat="1" x14ac:dyDescent="0.3">
      <c r="A1" s="13" t="s">
        <v>89</v>
      </c>
      <c r="B1" s="13" t="s">
        <v>3</v>
      </c>
      <c r="C1" s="13" t="s">
        <v>95</v>
      </c>
      <c r="D1" s="13" t="s">
        <v>110</v>
      </c>
      <c r="E1" s="13"/>
      <c r="F1" s="13" t="s">
        <v>19</v>
      </c>
      <c r="G1" s="13" t="s">
        <v>21</v>
      </c>
      <c r="H1" s="13" t="s">
        <v>34</v>
      </c>
      <c r="J1" s="14" t="s">
        <v>65</v>
      </c>
      <c r="L1" s="17" t="s">
        <v>120</v>
      </c>
      <c r="M1" s="7" t="s">
        <v>121</v>
      </c>
    </row>
    <row r="2" spans="1:13" x14ac:dyDescent="0.3">
      <c r="A2" s="15" t="s">
        <v>24</v>
      </c>
      <c r="B2" s="15" t="s">
        <v>25</v>
      </c>
      <c r="C2" s="15" t="s">
        <v>114</v>
      </c>
      <c r="D2" s="15" t="s">
        <v>144</v>
      </c>
      <c r="E2" s="15"/>
      <c r="F2" s="15" t="s">
        <v>54</v>
      </c>
      <c r="G2" s="15" t="s">
        <v>53</v>
      </c>
      <c r="H2" s="15" t="s">
        <v>50</v>
      </c>
      <c r="J2" s="6" t="s">
        <v>66</v>
      </c>
      <c r="L2" s="1" t="s">
        <v>122</v>
      </c>
      <c r="M2" s="1">
        <v>0.1</v>
      </c>
    </row>
    <row r="3" spans="1:13" x14ac:dyDescent="0.3">
      <c r="A3" s="15" t="s">
        <v>1</v>
      </c>
      <c r="B3" s="15" t="s">
        <v>4</v>
      </c>
      <c r="C3" s="15" t="s">
        <v>96</v>
      </c>
      <c r="D3" s="15" t="s">
        <v>143</v>
      </c>
      <c r="E3" s="15"/>
      <c r="F3" s="15" t="s">
        <v>27</v>
      </c>
      <c r="G3" s="15" t="s">
        <v>22</v>
      </c>
      <c r="H3" s="15" t="s">
        <v>28</v>
      </c>
      <c r="J3" s="6" t="s">
        <v>67</v>
      </c>
      <c r="L3" s="1" t="s">
        <v>198</v>
      </c>
      <c r="M3" s="1">
        <v>10</v>
      </c>
    </row>
    <row r="4" spans="1:13" x14ac:dyDescent="0.3">
      <c r="A4" s="15" t="s">
        <v>90</v>
      </c>
      <c r="B4" s="15" t="s">
        <v>91</v>
      </c>
      <c r="C4" s="15" t="s">
        <v>98</v>
      </c>
      <c r="D4" s="15" t="s">
        <v>112</v>
      </c>
      <c r="E4" s="15"/>
      <c r="F4" s="15" t="s">
        <v>58</v>
      </c>
      <c r="G4" s="15"/>
      <c r="H4" s="15" t="s">
        <v>52</v>
      </c>
      <c r="J4" s="6" t="s">
        <v>68</v>
      </c>
    </row>
    <row r="5" spans="1:13" x14ac:dyDescent="0.3">
      <c r="A5" s="15"/>
      <c r="B5" s="15"/>
      <c r="C5" s="15"/>
      <c r="D5" s="15"/>
      <c r="E5" s="15"/>
      <c r="F5" s="15" t="s">
        <v>55</v>
      </c>
      <c r="G5" s="15"/>
      <c r="H5" s="15" t="s">
        <v>51</v>
      </c>
      <c r="J5" s="6" t="s">
        <v>69</v>
      </c>
    </row>
    <row r="6" spans="1:13" x14ac:dyDescent="0.3">
      <c r="F6" s="15" t="s">
        <v>20</v>
      </c>
      <c r="H6" s="15" t="s">
        <v>23</v>
      </c>
      <c r="J6" s="6" t="s">
        <v>70</v>
      </c>
    </row>
    <row r="7" spans="1:13" x14ac:dyDescent="0.3">
      <c r="F7" s="15" t="s">
        <v>61</v>
      </c>
      <c r="J7" s="6" t="s">
        <v>71</v>
      </c>
    </row>
    <row r="8" spans="1:13" x14ac:dyDescent="0.3">
      <c r="F8" s="15" t="s">
        <v>92</v>
      </c>
      <c r="J8" s="6" t="s">
        <v>72</v>
      </c>
    </row>
    <row r="9" spans="1:13" x14ac:dyDescent="0.3">
      <c r="F9" s="15" t="s">
        <v>63</v>
      </c>
      <c r="J9" s="6" t="s">
        <v>73</v>
      </c>
    </row>
    <row r="10" spans="1:13" x14ac:dyDescent="0.3">
      <c r="F10" s="15" t="s">
        <v>93</v>
      </c>
      <c r="J10" s="6" t="s">
        <v>74</v>
      </c>
    </row>
    <row r="11" spans="1:13" x14ac:dyDescent="0.3">
      <c r="F11" s="15" t="s">
        <v>56</v>
      </c>
      <c r="J11" s="6" t="s">
        <v>75</v>
      </c>
    </row>
    <row r="12" spans="1:13" x14ac:dyDescent="0.3">
      <c r="J12" s="6" t="s">
        <v>76</v>
      </c>
    </row>
    <row r="13" spans="1:13" x14ac:dyDescent="0.3">
      <c r="J13" s="6" t="s">
        <v>77</v>
      </c>
    </row>
    <row r="14" spans="1:13" x14ac:dyDescent="0.3">
      <c r="J14" s="6" t="s">
        <v>94</v>
      </c>
    </row>
    <row r="15" spans="1:13" x14ac:dyDescent="0.3">
      <c r="J15" s="6" t="s">
        <v>78</v>
      </c>
    </row>
    <row r="16" spans="1:13" x14ac:dyDescent="0.3">
      <c r="J16" s="6" t="s">
        <v>79</v>
      </c>
    </row>
    <row r="17" spans="10:10" x14ac:dyDescent="0.3">
      <c r="J17" s="6" t="s">
        <v>80</v>
      </c>
    </row>
    <row r="18" spans="10:10" x14ac:dyDescent="0.3">
      <c r="J18" s="6" t="s">
        <v>81</v>
      </c>
    </row>
    <row r="19" spans="10:10" x14ac:dyDescent="0.3">
      <c r="J19" s="6" t="s">
        <v>82</v>
      </c>
    </row>
    <row r="20" spans="10:10" x14ac:dyDescent="0.3">
      <c r="J20" s="6" t="s">
        <v>83</v>
      </c>
    </row>
    <row r="21" spans="10:10" x14ac:dyDescent="0.3">
      <c r="J21" s="6" t="s">
        <v>84</v>
      </c>
    </row>
    <row r="22" spans="10:10" x14ac:dyDescent="0.3">
      <c r="J22" s="6" t="s">
        <v>85</v>
      </c>
    </row>
    <row r="23" spans="10:10" x14ac:dyDescent="0.3">
      <c r="J23" s="6" t="s">
        <v>86</v>
      </c>
    </row>
    <row r="24" spans="10:10" x14ac:dyDescent="0.3">
      <c r="J24" s="6" t="s">
        <v>87</v>
      </c>
    </row>
    <row r="25" spans="10:10" x14ac:dyDescent="0.3">
      <c r="J25" s="6" t="s">
        <v>88</v>
      </c>
    </row>
  </sheetData>
  <pageMargins left="0.7" right="0.7" top="0.75" bottom="0.75" header="0.3" footer="0.3"/>
  <pageSetup paperSize="9" orientation="portrait" r:id="rId1"/>
  <headerFooter>
    <oddFooter>&amp;L&amp;1#&amp;"Calibri"&amp;11&amp;K000000OFFICIAL: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F4F7-EA74-4EB7-A36C-25587295929E}">
  <sheetPr codeName="Sheet4">
    <tabColor theme="3" tint="0.59999389629810485"/>
  </sheetPr>
  <dimension ref="A1:V5"/>
  <sheetViews>
    <sheetView workbookViewId="0"/>
  </sheetViews>
  <sheetFormatPr defaultColWidth="8.796875" defaultRowHeight="15.75" x14ac:dyDescent="0.3"/>
  <cols>
    <col min="1" max="1" width="18.5" style="7" customWidth="1"/>
    <col min="2" max="16384" width="8.796875" style="1"/>
  </cols>
  <sheetData>
    <row r="1" spans="1:22" x14ac:dyDescent="0.3">
      <c r="A1" s="17" t="s">
        <v>29</v>
      </c>
      <c r="B1" s="148">
        <f>'Escalation Template'!B19</f>
        <v>2024</v>
      </c>
      <c r="C1" s="1">
        <f>B1+1</f>
        <v>2025</v>
      </c>
      <c r="D1" s="1">
        <f t="shared" ref="D1:O1" si="0">C1+1</f>
        <v>2026</v>
      </c>
      <c r="E1" s="1">
        <f t="shared" si="0"/>
        <v>2027</v>
      </c>
      <c r="F1" s="1">
        <f t="shared" si="0"/>
        <v>2028</v>
      </c>
      <c r="G1" s="1">
        <f t="shared" si="0"/>
        <v>2029</v>
      </c>
      <c r="H1" s="1">
        <f t="shared" si="0"/>
        <v>2030</v>
      </c>
      <c r="I1" s="1">
        <f t="shared" si="0"/>
        <v>2031</v>
      </c>
      <c r="J1" s="1">
        <f t="shared" si="0"/>
        <v>2032</v>
      </c>
      <c r="K1" s="1">
        <f t="shared" si="0"/>
        <v>2033</v>
      </c>
      <c r="L1" s="1">
        <f t="shared" si="0"/>
        <v>2034</v>
      </c>
      <c r="M1" s="1">
        <f t="shared" si="0"/>
        <v>2035</v>
      </c>
      <c r="N1" s="1">
        <f t="shared" si="0"/>
        <v>2036</v>
      </c>
      <c r="O1" s="1">
        <f t="shared" si="0"/>
        <v>2037</v>
      </c>
      <c r="P1" s="1">
        <f t="shared" ref="P1" si="1">O1+1</f>
        <v>2038</v>
      </c>
      <c r="Q1" s="1">
        <f t="shared" ref="Q1" si="2">P1+1</f>
        <v>2039</v>
      </c>
      <c r="R1" s="1">
        <f t="shared" ref="R1" si="3">Q1+1</f>
        <v>2040</v>
      </c>
      <c r="S1" s="1">
        <f t="shared" ref="S1" si="4">R1+1</f>
        <v>2041</v>
      </c>
      <c r="T1" s="1">
        <f t="shared" ref="T1" si="5">S1+1</f>
        <v>2042</v>
      </c>
      <c r="U1" s="1">
        <f t="shared" ref="U1" si="6">T1+1</f>
        <v>2043</v>
      </c>
      <c r="V1" s="1">
        <f t="shared" ref="V1" si="7">U1+1</f>
        <v>2044</v>
      </c>
    </row>
    <row r="2" spans="1:22" x14ac:dyDescent="0.3">
      <c r="B2" s="1">
        <f>B1-2000</f>
        <v>24</v>
      </c>
      <c r="C2" s="1">
        <f t="shared" ref="C2:O2" si="8">C1-2000</f>
        <v>25</v>
      </c>
      <c r="D2" s="1">
        <f t="shared" si="8"/>
        <v>26</v>
      </c>
      <c r="E2" s="1">
        <f t="shared" si="8"/>
        <v>27</v>
      </c>
      <c r="F2" s="1">
        <f t="shared" si="8"/>
        <v>28</v>
      </c>
      <c r="G2" s="1">
        <f t="shared" si="8"/>
        <v>29</v>
      </c>
      <c r="H2" s="1">
        <f t="shared" si="8"/>
        <v>30</v>
      </c>
      <c r="I2" s="1">
        <f t="shared" si="8"/>
        <v>31</v>
      </c>
      <c r="J2" s="1">
        <f t="shared" si="8"/>
        <v>32</v>
      </c>
      <c r="K2" s="1">
        <f t="shared" si="8"/>
        <v>33</v>
      </c>
      <c r="L2" s="1">
        <f t="shared" si="8"/>
        <v>34</v>
      </c>
      <c r="M2" s="1">
        <f t="shared" si="8"/>
        <v>35</v>
      </c>
      <c r="N2" s="1">
        <f t="shared" si="8"/>
        <v>36</v>
      </c>
      <c r="O2" s="1">
        <f t="shared" si="8"/>
        <v>37</v>
      </c>
      <c r="P2" s="1">
        <f t="shared" ref="P2:V2" si="9">P1-2000</f>
        <v>38</v>
      </c>
      <c r="Q2" s="1">
        <f t="shared" si="9"/>
        <v>39</v>
      </c>
      <c r="R2" s="1">
        <f t="shared" si="9"/>
        <v>40</v>
      </c>
      <c r="S2" s="1">
        <f t="shared" si="9"/>
        <v>41</v>
      </c>
      <c r="T2" s="1">
        <f t="shared" si="9"/>
        <v>42</v>
      </c>
      <c r="U2" s="1">
        <f t="shared" si="9"/>
        <v>43</v>
      </c>
      <c r="V2" s="1">
        <f t="shared" si="9"/>
        <v>44</v>
      </c>
    </row>
    <row r="4" spans="1:22" x14ac:dyDescent="0.3">
      <c r="A4" s="17" t="s">
        <v>30</v>
      </c>
      <c r="B4" s="1">
        <f>B1-($B$1-1)</f>
        <v>1</v>
      </c>
      <c r="C4" s="1">
        <f>C1-($B$1-1)</f>
        <v>2</v>
      </c>
      <c r="D4" s="1">
        <f t="shared" ref="D4:O4" si="10">D1-($B$1-1)</f>
        <v>3</v>
      </c>
      <c r="E4" s="1">
        <f t="shared" si="10"/>
        <v>4</v>
      </c>
      <c r="F4" s="1">
        <f t="shared" si="10"/>
        <v>5</v>
      </c>
      <c r="G4" s="1">
        <f t="shared" si="10"/>
        <v>6</v>
      </c>
      <c r="H4" s="1">
        <f t="shared" si="10"/>
        <v>7</v>
      </c>
      <c r="I4" s="1">
        <f t="shared" si="10"/>
        <v>8</v>
      </c>
      <c r="J4" s="1">
        <f t="shared" si="10"/>
        <v>9</v>
      </c>
      <c r="K4" s="1">
        <f t="shared" si="10"/>
        <v>10</v>
      </c>
      <c r="L4" s="1">
        <f t="shared" si="10"/>
        <v>11</v>
      </c>
      <c r="M4" s="1">
        <f t="shared" si="10"/>
        <v>12</v>
      </c>
      <c r="N4" s="1">
        <f t="shared" si="10"/>
        <v>13</v>
      </c>
      <c r="O4" s="1">
        <f t="shared" si="10"/>
        <v>14</v>
      </c>
      <c r="P4" s="1">
        <f t="shared" ref="P4:V4" si="11">P1-($B$1-1)</f>
        <v>15</v>
      </c>
      <c r="Q4" s="1">
        <f t="shared" si="11"/>
        <v>16</v>
      </c>
      <c r="R4" s="1">
        <f t="shared" si="11"/>
        <v>17</v>
      </c>
      <c r="S4" s="1">
        <f t="shared" si="11"/>
        <v>18</v>
      </c>
      <c r="T4" s="1">
        <f t="shared" si="11"/>
        <v>19</v>
      </c>
      <c r="U4" s="1">
        <f t="shared" si="11"/>
        <v>20</v>
      </c>
      <c r="V4" s="1">
        <f t="shared" si="11"/>
        <v>21</v>
      </c>
    </row>
    <row r="5" spans="1:22" x14ac:dyDescent="0.3">
      <c r="B5" s="1">
        <f>IF(B4&lt;='Escalation Template'!$B$18,'Escalation Template'!$B$24,0)</f>
        <v>1.32</v>
      </c>
      <c r="C5" s="1">
        <f>IF(C4&lt;='Escalation Template'!$B$18,'Escalation Template'!$B$24,0)</f>
        <v>1.32</v>
      </c>
      <c r="D5" s="1">
        <f>IF(D4&lt;='Escalation Template'!$B$18,'Escalation Template'!$B$24,0)</f>
        <v>1.32</v>
      </c>
      <c r="E5" s="1">
        <f>IF(E4&lt;='Escalation Template'!$B$18,'Escalation Template'!$B$24,0)</f>
        <v>1.32</v>
      </c>
      <c r="F5" s="1">
        <f>IF(F4&lt;='Escalation Template'!$B$18,'Escalation Template'!$B$24,0)</f>
        <v>1.32</v>
      </c>
      <c r="G5" s="1">
        <f>IF(G4&lt;='Escalation Template'!$B$18,'Escalation Template'!$B$24,0)</f>
        <v>0</v>
      </c>
      <c r="H5" s="1">
        <f>IF(H4&lt;='Escalation Template'!$B$18,'Escalation Template'!$B$24,0)</f>
        <v>0</v>
      </c>
      <c r="I5" s="1">
        <f>IF(I4&lt;='Escalation Template'!$B$18,'Escalation Template'!$B$24,0)</f>
        <v>0</v>
      </c>
      <c r="J5" s="1">
        <f>IF(J4&lt;='Escalation Template'!$B$18,'Escalation Template'!$B$24,0)</f>
        <v>0</v>
      </c>
      <c r="K5" s="1">
        <f>IF(K4&lt;='Escalation Template'!$B$18,'Escalation Template'!$B$24,0)</f>
        <v>0</v>
      </c>
      <c r="L5" s="1">
        <f>IF(L4&lt;='Escalation Template'!$B$18,'Escalation Template'!$B$24,0)</f>
        <v>0</v>
      </c>
      <c r="M5" s="1">
        <f>IF(M4&lt;='Escalation Template'!$B$18,'Escalation Template'!$B$24,0)</f>
        <v>0</v>
      </c>
      <c r="N5" s="1">
        <f>IF(N4&lt;='Escalation Template'!$B$18,'Escalation Template'!$B$24,0)</f>
        <v>0</v>
      </c>
      <c r="O5" s="1">
        <f>IF(O4&lt;='Escalation Template'!$B$18,'Escalation Template'!$B$24,0)</f>
        <v>0</v>
      </c>
      <c r="P5" s="1">
        <f>IF(P4&lt;='Escalation Template'!$B$18,'Escalation Template'!$B$24,0)</f>
        <v>0</v>
      </c>
      <c r="Q5" s="1">
        <f>IF(Q4&lt;='Escalation Template'!$B$18,'Escalation Template'!$B$24,0)</f>
        <v>0</v>
      </c>
      <c r="R5" s="1">
        <f>IF(R4&lt;='Escalation Template'!$B$18,'Escalation Template'!$B$24,0)</f>
        <v>0</v>
      </c>
      <c r="S5" s="1">
        <f>IF(S4&lt;='Escalation Template'!$B$18,'Escalation Template'!$B$24,0)</f>
        <v>0</v>
      </c>
      <c r="T5" s="1">
        <f>IF(T4&lt;='Escalation Template'!$B$18,'Escalation Template'!$B$24,0)</f>
        <v>0</v>
      </c>
      <c r="U5" s="1">
        <f>IF(U4&lt;='Escalation Template'!$B$18,'Escalation Template'!$B$24,0)</f>
        <v>0</v>
      </c>
      <c r="V5" s="1">
        <f>IF(V4&lt;='Escalation Template'!$B$18,'Escalation Template'!$B$24,0)</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FF97A-EB70-4C85-ACCF-DAB9857FD511}">
  <sheetPr codeName="Sheet5">
    <tabColor theme="5"/>
  </sheetPr>
  <dimension ref="A3:A7"/>
  <sheetViews>
    <sheetView workbookViewId="0"/>
  </sheetViews>
  <sheetFormatPr defaultColWidth="8.796875" defaultRowHeight="15.75" x14ac:dyDescent="0.3"/>
  <cols>
    <col min="1" max="16384" width="8.796875" style="33"/>
  </cols>
  <sheetData>
    <row r="3" spans="1:1" ht="20.25" x14ac:dyDescent="0.4">
      <c r="A3" s="19" t="s">
        <v>103</v>
      </c>
    </row>
    <row r="5" spans="1:1" x14ac:dyDescent="0.3">
      <c r="A5" s="25" t="s">
        <v>119</v>
      </c>
    </row>
    <row r="6" spans="1:1" x14ac:dyDescent="0.3">
      <c r="A6" s="25" t="s">
        <v>127</v>
      </c>
    </row>
    <row r="7" spans="1:1" x14ac:dyDescent="0.3">
      <c r="A7" s="25" t="s">
        <v>113</v>
      </c>
    </row>
  </sheetData>
  <hyperlinks>
    <hyperlink ref="A7" location="'U75 forecasts'!A1" display="U75 forecasts" xr:uid="{6DB2D77C-C00C-4DB6-B924-A74260CB3453}"/>
    <hyperlink ref="A6" location="'Recommended scenario forecasts'!A1" display="Recommended scenario forecasts" xr:uid="{CBB6FB13-DCAF-4416-B12D-7B281B6F7673}"/>
    <hyperlink ref="A5" location="'L75 forecasts'!A1" display="L75 forecasts" xr:uid="{B9411F61-4560-4FC4-8A2F-FEB20A5C1537}"/>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CA185-E06C-44F8-A6DA-E5DA5A81A11C}">
  <sheetPr codeName="Sheet6">
    <tabColor theme="5" tint="0.59999389629810485"/>
  </sheetPr>
  <dimension ref="B1:AF108"/>
  <sheetViews>
    <sheetView topLeftCell="B1" workbookViewId="0">
      <selection activeCell="G9" sqref="G9:AF108"/>
    </sheetView>
  </sheetViews>
  <sheetFormatPr defaultColWidth="8.796875" defaultRowHeight="15.75" x14ac:dyDescent="0.3"/>
  <cols>
    <col min="1" max="1" width="2.5" style="1" customWidth="1"/>
    <col min="2" max="2" width="13.59765625" style="1" customWidth="1"/>
    <col min="3" max="3" width="10.296875" style="1" customWidth="1"/>
    <col min="4" max="4" width="11.296875" style="1" customWidth="1"/>
    <col min="5" max="5" width="19.296875" style="1" customWidth="1"/>
    <col min="6" max="6" width="34" style="1" customWidth="1"/>
    <col min="7" max="29" width="10.59765625" style="1" customWidth="1"/>
    <col min="30" max="30" width="15.5" style="1" bestFit="1" customWidth="1"/>
    <col min="31" max="31" width="15.59765625" style="1" bestFit="1" customWidth="1"/>
    <col min="32" max="32" width="16.5" style="1" bestFit="1" customWidth="1"/>
    <col min="33" max="16384" width="8.796875" style="1"/>
  </cols>
  <sheetData>
    <row r="1" spans="2:32" x14ac:dyDescent="0.3">
      <c r="B1" s="4"/>
    </row>
    <row r="3" spans="2:32" x14ac:dyDescent="0.3">
      <c r="B3" s="3"/>
    </row>
    <row r="4" spans="2:32" s="7" customFormat="1" ht="20.25" x14ac:dyDescent="0.4">
      <c r="B4" s="8" t="s">
        <v>124</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2:32" x14ac:dyDescent="0.3">
      <c r="B5" s="2" t="s">
        <v>97</v>
      </c>
    </row>
    <row r="6" spans="2:32" x14ac:dyDescent="0.3">
      <c r="B6" s="2" t="s">
        <v>31</v>
      </c>
    </row>
    <row r="7" spans="2:32" s="7" customFormat="1" x14ac:dyDescent="0.3">
      <c r="B7" s="12"/>
      <c r="AD7" s="173" t="s">
        <v>64</v>
      </c>
      <c r="AE7" s="173"/>
      <c r="AF7" s="173"/>
    </row>
    <row r="8" spans="2:32" s="7" customFormat="1" ht="17.25" x14ac:dyDescent="0.35">
      <c r="B8" s="9" t="s">
        <v>32</v>
      </c>
      <c r="C8" s="9" t="s">
        <v>33</v>
      </c>
      <c r="D8" s="9" t="s">
        <v>21</v>
      </c>
      <c r="E8" s="9" t="s">
        <v>34</v>
      </c>
      <c r="F8" s="9" t="s">
        <v>35</v>
      </c>
      <c r="G8" s="9" t="s">
        <v>36</v>
      </c>
      <c r="H8" s="9" t="s">
        <v>37</v>
      </c>
      <c r="I8" s="9" t="s">
        <v>38</v>
      </c>
      <c r="J8" s="9" t="s">
        <v>39</v>
      </c>
      <c r="K8" s="9" t="s">
        <v>40</v>
      </c>
      <c r="L8" s="9" t="s">
        <v>41</v>
      </c>
      <c r="M8" s="9" t="s">
        <v>42</v>
      </c>
      <c r="N8" s="9" t="s">
        <v>43</v>
      </c>
      <c r="O8" s="9" t="s">
        <v>44</v>
      </c>
      <c r="P8" s="9" t="s">
        <v>45</v>
      </c>
      <c r="Q8" s="9" t="s">
        <v>46</v>
      </c>
      <c r="R8" s="9" t="s">
        <v>47</v>
      </c>
      <c r="S8" s="9" t="s">
        <v>48</v>
      </c>
      <c r="T8" s="9" t="s">
        <v>5</v>
      </c>
      <c r="U8" s="9" t="s">
        <v>6</v>
      </c>
      <c r="V8" s="9" t="s">
        <v>7</v>
      </c>
      <c r="W8" s="9" t="s">
        <v>8</v>
      </c>
      <c r="X8" s="9" t="s">
        <v>9</v>
      </c>
      <c r="Y8" s="9" t="s">
        <v>10</v>
      </c>
      <c r="Z8" s="9" t="s">
        <v>11</v>
      </c>
      <c r="AA8" s="9" t="s">
        <v>12</v>
      </c>
      <c r="AB8" s="9" t="s">
        <v>13</v>
      </c>
      <c r="AC8" s="9" t="s">
        <v>14</v>
      </c>
      <c r="AD8" s="9" t="s">
        <v>139</v>
      </c>
      <c r="AE8" s="10" t="s">
        <v>140</v>
      </c>
      <c r="AF8" s="10" t="s">
        <v>141</v>
      </c>
    </row>
    <row r="9" spans="2:32" x14ac:dyDescent="0.3">
      <c r="B9" s="1" t="s">
        <v>49</v>
      </c>
      <c r="C9" s="1" t="s">
        <v>20</v>
      </c>
      <c r="D9" s="1" t="s">
        <v>22</v>
      </c>
      <c r="E9" s="1" t="s">
        <v>50</v>
      </c>
      <c r="F9" s="5" t="str">
        <f>_xlfn.CONCAT(C9, " - ", D9, " - ",E9)</f>
        <v>Road - Metro - &lt;$250 mil</v>
      </c>
      <c r="G9" s="168">
        <v>4.8986790424381699E-2</v>
      </c>
      <c r="H9" s="168">
        <v>4.4023502914226756E-2</v>
      </c>
      <c r="I9" s="168">
        <v>1.8877539344674024E-2</v>
      </c>
      <c r="J9" s="168">
        <v>2.650000443439E-2</v>
      </c>
      <c r="K9" s="168">
        <v>2.495396891890125E-2</v>
      </c>
      <c r="L9" s="168">
        <v>1.6634956076004171E-2</v>
      </c>
      <c r="M9" s="168">
        <v>3.4217724553147859E-2</v>
      </c>
      <c r="N9" s="168">
        <v>4.0868547663137335E-2</v>
      </c>
      <c r="O9" s="168">
        <v>4.6487372592186001E-2</v>
      </c>
      <c r="P9" s="168">
        <v>1.5250904005451441E-2</v>
      </c>
      <c r="Q9" s="168">
        <v>1.5086126524654235E-2</v>
      </c>
      <c r="R9" s="168">
        <v>9.4203272716303424E-2</v>
      </c>
      <c r="S9" s="168">
        <v>5.2658767922349921E-2</v>
      </c>
      <c r="T9" s="169">
        <v>3.3320541994267289E-2</v>
      </c>
      <c r="U9" s="169">
        <v>8.9368181448929978E-3</v>
      </c>
      <c r="V9" s="169">
        <v>1.7752646917647788E-2</v>
      </c>
      <c r="W9" s="169">
        <v>2.4918997185836674E-2</v>
      </c>
      <c r="X9" s="169">
        <v>2.5651559277759663E-2</v>
      </c>
      <c r="Y9" s="169">
        <v>2.6016849574659197E-2</v>
      </c>
      <c r="Z9" s="169">
        <v>2.6201143330431657E-2</v>
      </c>
      <c r="AA9" s="169">
        <v>2.6281987220064616E-2</v>
      </c>
      <c r="AB9" s="169">
        <v>2.6297594126276483E-2</v>
      </c>
      <c r="AC9" s="169">
        <v>2.6269760028361306E-2</v>
      </c>
      <c r="AD9" s="170">
        <v>2.2082923529153753E-2</v>
      </c>
      <c r="AE9" s="170">
        <v>2.6213461617690559E-2</v>
      </c>
      <c r="AF9" s="170">
        <v>2.41461101889624E-2</v>
      </c>
    </row>
    <row r="10" spans="2:32" x14ac:dyDescent="0.3">
      <c r="B10" s="1" t="s">
        <v>49</v>
      </c>
      <c r="C10" s="1" t="s">
        <v>20</v>
      </c>
      <c r="D10" s="1" t="s">
        <v>22</v>
      </c>
      <c r="E10" s="1" t="s">
        <v>51</v>
      </c>
      <c r="F10" s="5" t="str">
        <f t="shared" ref="F10:F81" si="0">_xlfn.CONCAT(C10, " - ", D10, " - ",E10)</f>
        <v>Road - Metro - $250 mil-$500 mil</v>
      </c>
      <c r="G10" s="168">
        <v>4.8986790424381699E-2</v>
      </c>
      <c r="H10" s="168">
        <v>4.4023502914226756E-2</v>
      </c>
      <c r="I10" s="168">
        <v>1.8877539344674024E-2</v>
      </c>
      <c r="J10" s="168">
        <v>2.650000443439E-2</v>
      </c>
      <c r="K10" s="168">
        <v>2.495396891890125E-2</v>
      </c>
      <c r="L10" s="168">
        <v>1.6634956076004171E-2</v>
      </c>
      <c r="M10" s="168">
        <v>3.4217724553147859E-2</v>
      </c>
      <c r="N10" s="168">
        <v>4.0868547663137335E-2</v>
      </c>
      <c r="O10" s="168">
        <v>4.6487372592186001E-2</v>
      </c>
      <c r="P10" s="168">
        <v>1.5250904005451441E-2</v>
      </c>
      <c r="Q10" s="168">
        <v>1.5086126524654235E-2</v>
      </c>
      <c r="R10" s="168">
        <v>9.4203272716303424E-2</v>
      </c>
      <c r="S10" s="168">
        <v>5.2658767922349921E-2</v>
      </c>
      <c r="T10" s="169">
        <v>3.3320541994267289E-2</v>
      </c>
      <c r="U10" s="169">
        <v>8.9368181448929978E-3</v>
      </c>
      <c r="V10" s="169">
        <v>1.7752646917647788E-2</v>
      </c>
      <c r="W10" s="169">
        <v>2.4918997185836674E-2</v>
      </c>
      <c r="X10" s="169">
        <v>2.5651559277759663E-2</v>
      </c>
      <c r="Y10" s="169">
        <v>2.6016849574659197E-2</v>
      </c>
      <c r="Z10" s="169">
        <v>2.6201143330431657E-2</v>
      </c>
      <c r="AA10" s="169">
        <v>2.6281987220064616E-2</v>
      </c>
      <c r="AB10" s="169">
        <v>2.6297594126276483E-2</v>
      </c>
      <c r="AC10" s="169">
        <v>2.6269760028361306E-2</v>
      </c>
      <c r="AD10" s="170">
        <v>2.2082923529153753E-2</v>
      </c>
      <c r="AE10" s="170">
        <v>2.6213461617690559E-2</v>
      </c>
      <c r="AF10" s="170">
        <v>2.41461101889624E-2</v>
      </c>
    </row>
    <row r="11" spans="2:32" x14ac:dyDescent="0.3">
      <c r="B11" s="1" t="s">
        <v>49</v>
      </c>
      <c r="C11" s="1" t="s">
        <v>20</v>
      </c>
      <c r="D11" s="1" t="s">
        <v>22</v>
      </c>
      <c r="E11" s="1" t="s">
        <v>23</v>
      </c>
      <c r="F11" s="5" t="str">
        <f t="shared" si="0"/>
        <v>Road - Metro - $500 mil-$1 bn</v>
      </c>
      <c r="G11" s="168">
        <v>4.8986790424381699E-2</v>
      </c>
      <c r="H11" s="168">
        <v>4.4023502914226756E-2</v>
      </c>
      <c r="I11" s="168">
        <v>1.8877539344674024E-2</v>
      </c>
      <c r="J11" s="168">
        <v>2.650000443439E-2</v>
      </c>
      <c r="K11" s="168">
        <v>2.495396891890125E-2</v>
      </c>
      <c r="L11" s="168">
        <v>1.6634956076004171E-2</v>
      </c>
      <c r="M11" s="168">
        <v>3.4217724553147859E-2</v>
      </c>
      <c r="N11" s="168">
        <v>4.0868547663137335E-2</v>
      </c>
      <c r="O11" s="168">
        <v>4.6487372592186001E-2</v>
      </c>
      <c r="P11" s="168">
        <v>1.5250904005451441E-2</v>
      </c>
      <c r="Q11" s="168">
        <v>1.5086126524654235E-2</v>
      </c>
      <c r="R11" s="168">
        <v>9.4203272716303424E-2</v>
      </c>
      <c r="S11" s="168">
        <v>5.2658767922349921E-2</v>
      </c>
      <c r="T11" s="169">
        <v>3.3320541994267289E-2</v>
      </c>
      <c r="U11" s="169">
        <v>8.9368181448929978E-3</v>
      </c>
      <c r="V11" s="169">
        <v>1.7752646917647788E-2</v>
      </c>
      <c r="W11" s="169">
        <v>2.4918997185836674E-2</v>
      </c>
      <c r="X11" s="169">
        <v>2.5651559277759663E-2</v>
      </c>
      <c r="Y11" s="169">
        <v>2.6016849574659197E-2</v>
      </c>
      <c r="Z11" s="169">
        <v>2.6201143330431657E-2</v>
      </c>
      <c r="AA11" s="169">
        <v>2.6281987220064616E-2</v>
      </c>
      <c r="AB11" s="169">
        <v>2.6297594126276483E-2</v>
      </c>
      <c r="AC11" s="169">
        <v>2.6269760028361306E-2</v>
      </c>
      <c r="AD11" s="170">
        <v>2.2082923529153753E-2</v>
      </c>
      <c r="AE11" s="170">
        <v>2.6213461617690559E-2</v>
      </c>
      <c r="AF11" s="170">
        <v>2.41461101889624E-2</v>
      </c>
    </row>
    <row r="12" spans="2:32" x14ac:dyDescent="0.3">
      <c r="B12" s="1" t="s">
        <v>49</v>
      </c>
      <c r="C12" s="1" t="s">
        <v>20</v>
      </c>
      <c r="D12" s="1" t="s">
        <v>22</v>
      </c>
      <c r="E12" s="1" t="s">
        <v>52</v>
      </c>
      <c r="F12" s="5" t="str">
        <f t="shared" si="0"/>
        <v>Road - Metro - $1 bn-$5 bn</v>
      </c>
      <c r="G12" s="168">
        <v>4.8986790424381699E-2</v>
      </c>
      <c r="H12" s="168">
        <v>4.4023502914226756E-2</v>
      </c>
      <c r="I12" s="168">
        <v>1.8877539344674024E-2</v>
      </c>
      <c r="J12" s="168">
        <v>2.650000443439E-2</v>
      </c>
      <c r="K12" s="168">
        <v>2.495396891890125E-2</v>
      </c>
      <c r="L12" s="168">
        <v>1.6634956076004171E-2</v>
      </c>
      <c r="M12" s="168">
        <v>3.4217724553147859E-2</v>
      </c>
      <c r="N12" s="168">
        <v>4.0868547663137335E-2</v>
      </c>
      <c r="O12" s="168">
        <v>4.6487372592186001E-2</v>
      </c>
      <c r="P12" s="168">
        <v>1.5250904005451441E-2</v>
      </c>
      <c r="Q12" s="168">
        <v>1.5086126524654235E-2</v>
      </c>
      <c r="R12" s="168">
        <v>9.4203272716303424E-2</v>
      </c>
      <c r="S12" s="168">
        <v>5.2658767922349921E-2</v>
      </c>
      <c r="T12" s="169">
        <v>3.3320541994267289E-2</v>
      </c>
      <c r="U12" s="169">
        <v>8.9368181448929978E-3</v>
      </c>
      <c r="V12" s="169">
        <v>1.7752646917647788E-2</v>
      </c>
      <c r="W12" s="169">
        <v>2.4918997185836674E-2</v>
      </c>
      <c r="X12" s="169">
        <v>2.5651559277759663E-2</v>
      </c>
      <c r="Y12" s="169">
        <v>2.6016849574659197E-2</v>
      </c>
      <c r="Z12" s="169">
        <v>2.6201143330431657E-2</v>
      </c>
      <c r="AA12" s="169">
        <v>2.6281987220064616E-2</v>
      </c>
      <c r="AB12" s="169">
        <v>2.6297594126276483E-2</v>
      </c>
      <c r="AC12" s="169">
        <v>2.6269760028361306E-2</v>
      </c>
      <c r="AD12" s="170">
        <v>2.2082923529153753E-2</v>
      </c>
      <c r="AE12" s="170">
        <v>2.6213461617690559E-2</v>
      </c>
      <c r="AF12" s="170">
        <v>2.41461101889624E-2</v>
      </c>
    </row>
    <row r="13" spans="2:32" x14ac:dyDescent="0.3">
      <c r="B13" s="1" t="s">
        <v>49</v>
      </c>
      <c r="C13" s="1" t="s">
        <v>20</v>
      </c>
      <c r="D13" s="1" t="s">
        <v>22</v>
      </c>
      <c r="E13" s="1" t="s">
        <v>28</v>
      </c>
      <c r="F13" s="5" t="str">
        <f t="shared" si="0"/>
        <v>Road - Metro - &gt;$5 bn</v>
      </c>
      <c r="G13" s="168">
        <v>4.8986790424381699E-2</v>
      </c>
      <c r="H13" s="168">
        <v>4.4023502914226756E-2</v>
      </c>
      <c r="I13" s="168">
        <v>1.8877539344674024E-2</v>
      </c>
      <c r="J13" s="168">
        <v>2.650000443439E-2</v>
      </c>
      <c r="K13" s="168">
        <v>2.495396891890125E-2</v>
      </c>
      <c r="L13" s="168">
        <v>1.6634956076004171E-2</v>
      </c>
      <c r="M13" s="168">
        <v>3.4217724553147859E-2</v>
      </c>
      <c r="N13" s="168">
        <v>4.0868547663137335E-2</v>
      </c>
      <c r="O13" s="168">
        <v>4.6487372592186001E-2</v>
      </c>
      <c r="P13" s="168">
        <v>1.5250904005451441E-2</v>
      </c>
      <c r="Q13" s="168">
        <v>1.5086126524654235E-2</v>
      </c>
      <c r="R13" s="168">
        <v>9.4203272716303424E-2</v>
      </c>
      <c r="S13" s="168">
        <v>5.2658767922349921E-2</v>
      </c>
      <c r="T13" s="169">
        <v>3.3320541994267289E-2</v>
      </c>
      <c r="U13" s="169">
        <v>8.9368181448929978E-3</v>
      </c>
      <c r="V13" s="169">
        <v>1.7752646917647788E-2</v>
      </c>
      <c r="W13" s="169">
        <v>2.4918997185836674E-2</v>
      </c>
      <c r="X13" s="169">
        <v>2.5651559277759663E-2</v>
      </c>
      <c r="Y13" s="169">
        <v>2.6016849574659197E-2</v>
      </c>
      <c r="Z13" s="169">
        <v>2.6201143330431657E-2</v>
      </c>
      <c r="AA13" s="169">
        <v>2.6281987220064616E-2</v>
      </c>
      <c r="AB13" s="169">
        <v>2.6297594126276483E-2</v>
      </c>
      <c r="AC13" s="169">
        <v>2.6269760028361306E-2</v>
      </c>
      <c r="AD13" s="170">
        <v>2.2082923529153753E-2</v>
      </c>
      <c r="AE13" s="170">
        <v>2.6213461617690559E-2</v>
      </c>
      <c r="AF13" s="170">
        <v>2.41461101889624E-2</v>
      </c>
    </row>
    <row r="14" spans="2:32" x14ac:dyDescent="0.3">
      <c r="B14" s="1" t="s">
        <v>49</v>
      </c>
      <c r="C14" s="1" t="s">
        <v>20</v>
      </c>
      <c r="D14" s="1" t="s">
        <v>53</v>
      </c>
      <c r="E14" s="1" t="s">
        <v>50</v>
      </c>
      <c r="F14" s="5" t="str">
        <f t="shared" si="0"/>
        <v>Road - Regional - &lt;$250 mil</v>
      </c>
      <c r="G14" s="168">
        <v>5.0408346171176982E-2</v>
      </c>
      <c r="H14" s="168">
        <v>4.3240064086810942E-2</v>
      </c>
      <c r="I14" s="168">
        <v>2.1495918709260129E-2</v>
      </c>
      <c r="J14" s="168">
        <v>2.6715715638700861E-2</v>
      </c>
      <c r="K14" s="168">
        <v>2.6719221593780651E-2</v>
      </c>
      <c r="L14" s="168">
        <v>1.947558476397477E-2</v>
      </c>
      <c r="M14" s="168">
        <v>3.4522376960446716E-2</v>
      </c>
      <c r="N14" s="168">
        <v>3.9965818345855171E-2</v>
      </c>
      <c r="O14" s="168">
        <v>4.9249953547637622E-2</v>
      </c>
      <c r="P14" s="168">
        <v>1.690913757772998E-2</v>
      </c>
      <c r="Q14" s="168">
        <v>1.8769040352773554E-2</v>
      </c>
      <c r="R14" s="168">
        <v>9.3506315368340212E-2</v>
      </c>
      <c r="S14" s="168">
        <v>5.0364577932753139E-2</v>
      </c>
      <c r="T14" s="169">
        <v>3.3203823037087916E-2</v>
      </c>
      <c r="U14" s="169">
        <v>1.1113483919194094E-2</v>
      </c>
      <c r="V14" s="169">
        <v>1.9265275699247658E-2</v>
      </c>
      <c r="W14" s="169">
        <v>2.5860418353007317E-2</v>
      </c>
      <c r="X14" s="169">
        <v>2.6631734453714275E-2</v>
      </c>
      <c r="Y14" s="169">
        <v>2.6986981118436469E-2</v>
      </c>
      <c r="Z14" s="169">
        <v>2.7152274333160489E-2</v>
      </c>
      <c r="AA14" s="169">
        <v>2.7213865767018609E-2</v>
      </c>
      <c r="AB14" s="169">
        <v>2.7211688408901841E-2</v>
      </c>
      <c r="AC14" s="169">
        <v>2.7167743324886803E-2</v>
      </c>
      <c r="AD14" s="170">
        <v>2.3187483186634994E-2</v>
      </c>
      <c r="AE14" s="170">
        <v>2.7146507210162651E-2</v>
      </c>
      <c r="AF14" s="170">
        <v>2.5165084060274179E-2</v>
      </c>
    </row>
    <row r="15" spans="2:32" x14ac:dyDescent="0.3">
      <c r="B15" s="1" t="s">
        <v>49</v>
      </c>
      <c r="C15" s="1" t="s">
        <v>20</v>
      </c>
      <c r="D15" s="1" t="s">
        <v>53</v>
      </c>
      <c r="E15" s="1" t="s">
        <v>51</v>
      </c>
      <c r="F15" s="5" t="str">
        <f t="shared" si="0"/>
        <v>Road - Regional - $250 mil-$500 mil</v>
      </c>
      <c r="G15" s="168">
        <v>5.0408346171176982E-2</v>
      </c>
      <c r="H15" s="168">
        <v>4.3240064086810942E-2</v>
      </c>
      <c r="I15" s="168">
        <v>2.1495918709260129E-2</v>
      </c>
      <c r="J15" s="168">
        <v>2.6715715638700861E-2</v>
      </c>
      <c r="K15" s="168">
        <v>2.6719221593780651E-2</v>
      </c>
      <c r="L15" s="168">
        <v>1.947558476397477E-2</v>
      </c>
      <c r="M15" s="168">
        <v>3.4522376960446716E-2</v>
      </c>
      <c r="N15" s="168">
        <v>3.9965818345855171E-2</v>
      </c>
      <c r="O15" s="168">
        <v>4.9249953547637622E-2</v>
      </c>
      <c r="P15" s="168">
        <v>1.690913757772998E-2</v>
      </c>
      <c r="Q15" s="168">
        <v>1.8769040352773554E-2</v>
      </c>
      <c r="R15" s="168">
        <v>9.3506315368340212E-2</v>
      </c>
      <c r="S15" s="168">
        <v>5.0364577932753139E-2</v>
      </c>
      <c r="T15" s="169">
        <v>3.3203823037087916E-2</v>
      </c>
      <c r="U15" s="169">
        <v>1.1113483919194094E-2</v>
      </c>
      <c r="V15" s="169">
        <v>1.9265275699247658E-2</v>
      </c>
      <c r="W15" s="169">
        <v>2.5860418353007317E-2</v>
      </c>
      <c r="X15" s="169">
        <v>2.6631734453714275E-2</v>
      </c>
      <c r="Y15" s="169">
        <v>2.6986981118436469E-2</v>
      </c>
      <c r="Z15" s="169">
        <v>2.7152274333160489E-2</v>
      </c>
      <c r="AA15" s="169">
        <v>2.7213865767018609E-2</v>
      </c>
      <c r="AB15" s="169">
        <v>2.7211688408901841E-2</v>
      </c>
      <c r="AC15" s="169">
        <v>2.7167743324886803E-2</v>
      </c>
      <c r="AD15" s="170">
        <v>2.3187483186634994E-2</v>
      </c>
      <c r="AE15" s="170">
        <v>2.7146507210162651E-2</v>
      </c>
      <c r="AF15" s="170">
        <v>2.5165084060274179E-2</v>
      </c>
    </row>
    <row r="16" spans="2:32" x14ac:dyDescent="0.3">
      <c r="B16" s="1" t="s">
        <v>49</v>
      </c>
      <c r="C16" s="1" t="s">
        <v>20</v>
      </c>
      <c r="D16" s="1" t="s">
        <v>53</v>
      </c>
      <c r="E16" s="1" t="s">
        <v>23</v>
      </c>
      <c r="F16" s="5" t="str">
        <f t="shared" si="0"/>
        <v>Road - Regional - $500 mil-$1 bn</v>
      </c>
      <c r="G16" s="168">
        <v>5.0408346171176982E-2</v>
      </c>
      <c r="H16" s="168">
        <v>4.3240064086810942E-2</v>
      </c>
      <c r="I16" s="168">
        <v>2.1495918709260129E-2</v>
      </c>
      <c r="J16" s="168">
        <v>2.6715715638700861E-2</v>
      </c>
      <c r="K16" s="168">
        <v>2.6719221593780651E-2</v>
      </c>
      <c r="L16" s="168">
        <v>1.947558476397477E-2</v>
      </c>
      <c r="M16" s="168">
        <v>3.4522376960446716E-2</v>
      </c>
      <c r="N16" s="168">
        <v>3.9965818345855171E-2</v>
      </c>
      <c r="O16" s="168">
        <v>4.9249953547637622E-2</v>
      </c>
      <c r="P16" s="168">
        <v>1.690913757772998E-2</v>
      </c>
      <c r="Q16" s="168">
        <v>1.8769040352773554E-2</v>
      </c>
      <c r="R16" s="168">
        <v>9.3506315368340212E-2</v>
      </c>
      <c r="S16" s="168">
        <v>5.0364577932753139E-2</v>
      </c>
      <c r="T16" s="169">
        <v>3.3203823037087916E-2</v>
      </c>
      <c r="U16" s="169">
        <v>1.1113483919194094E-2</v>
      </c>
      <c r="V16" s="169">
        <v>1.9265275699247658E-2</v>
      </c>
      <c r="W16" s="169">
        <v>2.5860418353007317E-2</v>
      </c>
      <c r="X16" s="169">
        <v>2.6631734453714275E-2</v>
      </c>
      <c r="Y16" s="169">
        <v>2.6986981118436469E-2</v>
      </c>
      <c r="Z16" s="169">
        <v>2.7152274333160489E-2</v>
      </c>
      <c r="AA16" s="169">
        <v>2.7213865767018609E-2</v>
      </c>
      <c r="AB16" s="169">
        <v>2.7211688408901841E-2</v>
      </c>
      <c r="AC16" s="169">
        <v>2.7167743324886803E-2</v>
      </c>
      <c r="AD16" s="170">
        <v>2.3187483186634994E-2</v>
      </c>
      <c r="AE16" s="170">
        <v>2.7146507210162651E-2</v>
      </c>
      <c r="AF16" s="170">
        <v>2.5165084060274179E-2</v>
      </c>
    </row>
    <row r="17" spans="2:32" x14ac:dyDescent="0.3">
      <c r="B17" s="1" t="s">
        <v>49</v>
      </c>
      <c r="C17" s="1" t="s">
        <v>20</v>
      </c>
      <c r="D17" s="1" t="s">
        <v>53</v>
      </c>
      <c r="E17" s="1" t="s">
        <v>52</v>
      </c>
      <c r="F17" s="5" t="str">
        <f t="shared" si="0"/>
        <v>Road - Regional - $1 bn-$5 bn</v>
      </c>
      <c r="G17" s="168">
        <v>5.0408346171176982E-2</v>
      </c>
      <c r="H17" s="168">
        <v>4.3240064086810942E-2</v>
      </c>
      <c r="I17" s="168">
        <v>2.1495918709260129E-2</v>
      </c>
      <c r="J17" s="168">
        <v>2.6715715638700861E-2</v>
      </c>
      <c r="K17" s="168">
        <v>2.6719221593780651E-2</v>
      </c>
      <c r="L17" s="168">
        <v>1.947558476397477E-2</v>
      </c>
      <c r="M17" s="168">
        <v>3.4522376960446716E-2</v>
      </c>
      <c r="N17" s="168">
        <v>3.9965818345855171E-2</v>
      </c>
      <c r="O17" s="168">
        <v>4.9249953547637622E-2</v>
      </c>
      <c r="P17" s="168">
        <v>1.690913757772998E-2</v>
      </c>
      <c r="Q17" s="168">
        <v>1.8769040352773554E-2</v>
      </c>
      <c r="R17" s="168">
        <v>9.3506315368340212E-2</v>
      </c>
      <c r="S17" s="168">
        <v>5.0364577932753139E-2</v>
      </c>
      <c r="T17" s="169">
        <v>3.3203823037087916E-2</v>
      </c>
      <c r="U17" s="169">
        <v>1.1113483919194094E-2</v>
      </c>
      <c r="V17" s="169">
        <v>1.9265275699247658E-2</v>
      </c>
      <c r="W17" s="169">
        <v>2.5860418353007317E-2</v>
      </c>
      <c r="X17" s="169">
        <v>2.6631734453714275E-2</v>
      </c>
      <c r="Y17" s="169">
        <v>2.6986981118436469E-2</v>
      </c>
      <c r="Z17" s="169">
        <v>2.7152274333160489E-2</v>
      </c>
      <c r="AA17" s="169">
        <v>2.7213865767018609E-2</v>
      </c>
      <c r="AB17" s="169">
        <v>2.7211688408901841E-2</v>
      </c>
      <c r="AC17" s="169">
        <v>2.7167743324886803E-2</v>
      </c>
      <c r="AD17" s="170">
        <v>2.3187483186634994E-2</v>
      </c>
      <c r="AE17" s="170">
        <v>2.7146507210162651E-2</v>
      </c>
      <c r="AF17" s="170">
        <v>2.5165084060274179E-2</v>
      </c>
    </row>
    <row r="18" spans="2:32" x14ac:dyDescent="0.3">
      <c r="B18" s="1" t="s">
        <v>49</v>
      </c>
      <c r="C18" s="1" t="s">
        <v>20</v>
      </c>
      <c r="D18" s="1" t="s">
        <v>53</v>
      </c>
      <c r="E18" s="1" t="s">
        <v>28</v>
      </c>
      <c r="F18" s="5" t="str">
        <f t="shared" si="0"/>
        <v>Road - Regional - &gt;$5 bn</v>
      </c>
      <c r="G18" s="168">
        <v>5.0408346171176982E-2</v>
      </c>
      <c r="H18" s="168">
        <v>4.3240064086810942E-2</v>
      </c>
      <c r="I18" s="168">
        <v>2.1495918709260129E-2</v>
      </c>
      <c r="J18" s="168">
        <v>2.6715715638700861E-2</v>
      </c>
      <c r="K18" s="168">
        <v>2.6719221593780651E-2</v>
      </c>
      <c r="L18" s="168">
        <v>1.947558476397477E-2</v>
      </c>
      <c r="M18" s="168">
        <v>3.4522376960446716E-2</v>
      </c>
      <c r="N18" s="168">
        <v>3.9965818345855171E-2</v>
      </c>
      <c r="O18" s="168">
        <v>4.9249953547637622E-2</v>
      </c>
      <c r="P18" s="168">
        <v>1.690913757772998E-2</v>
      </c>
      <c r="Q18" s="168">
        <v>1.8769040352773554E-2</v>
      </c>
      <c r="R18" s="168">
        <v>9.3506315368340212E-2</v>
      </c>
      <c r="S18" s="168">
        <v>5.0364577932753139E-2</v>
      </c>
      <c r="T18" s="169">
        <v>3.3203823037087916E-2</v>
      </c>
      <c r="U18" s="169">
        <v>1.1113483919194094E-2</v>
      </c>
      <c r="V18" s="169">
        <v>1.9265275699247658E-2</v>
      </c>
      <c r="W18" s="169">
        <v>2.5860418353007317E-2</v>
      </c>
      <c r="X18" s="169">
        <v>2.6631734453714275E-2</v>
      </c>
      <c r="Y18" s="169">
        <v>2.6986981118436469E-2</v>
      </c>
      <c r="Z18" s="169">
        <v>2.7152274333160489E-2</v>
      </c>
      <c r="AA18" s="169">
        <v>2.7213865767018609E-2</v>
      </c>
      <c r="AB18" s="169">
        <v>2.7211688408901841E-2</v>
      </c>
      <c r="AC18" s="169">
        <v>2.7167743324886803E-2</v>
      </c>
      <c r="AD18" s="170">
        <v>2.3187483186634994E-2</v>
      </c>
      <c r="AE18" s="170">
        <v>2.7146507210162651E-2</v>
      </c>
      <c r="AF18" s="170">
        <v>2.5165084060274179E-2</v>
      </c>
    </row>
    <row r="19" spans="2:32" x14ac:dyDescent="0.3">
      <c r="B19" s="1" t="s">
        <v>49</v>
      </c>
      <c r="C19" s="1" t="s">
        <v>54</v>
      </c>
      <c r="D19" s="1" t="s">
        <v>22</v>
      </c>
      <c r="E19" s="1" t="s">
        <v>50</v>
      </c>
      <c r="F19" s="5" t="str">
        <f t="shared" si="0"/>
        <v>Bridge - Metro - &lt;$250 mil</v>
      </c>
      <c r="G19" s="168">
        <v>3.3406373384813344E-2</v>
      </c>
      <c r="H19" s="168">
        <v>3.0975960189947287E-2</v>
      </c>
      <c r="I19" s="168">
        <v>2.631368604163789E-2</v>
      </c>
      <c r="J19" s="168">
        <v>2.1360533843452354E-2</v>
      </c>
      <c r="K19" s="168">
        <v>4.0438830282569053E-2</v>
      </c>
      <c r="L19" s="168">
        <v>2.5407021549983179E-2</v>
      </c>
      <c r="M19" s="168">
        <v>3.3529000026985133E-2</v>
      </c>
      <c r="N19" s="168">
        <v>3.3326508595360488E-2</v>
      </c>
      <c r="O19" s="168">
        <v>3.9123258771401451E-2</v>
      </c>
      <c r="P19" s="168">
        <v>1.785235433003771E-2</v>
      </c>
      <c r="Q19" s="168">
        <v>1.8922926162433493E-2</v>
      </c>
      <c r="R19" s="168">
        <v>9.9924784950387549E-2</v>
      </c>
      <c r="S19" s="168">
        <v>5.9773465345041209E-2</v>
      </c>
      <c r="T19" s="169">
        <v>2.4999171153124809E-2</v>
      </c>
      <c r="U19" s="169">
        <v>7.211092215790792E-3</v>
      </c>
      <c r="V19" s="169">
        <v>1.8279317001983021E-2</v>
      </c>
      <c r="W19" s="169">
        <v>2.3709800829676882E-2</v>
      </c>
      <c r="X19" s="169">
        <v>2.4743582391987352E-2</v>
      </c>
      <c r="Y19" s="169">
        <v>2.5303932979906147E-2</v>
      </c>
      <c r="Z19" s="169">
        <v>2.5625609036107201E-2</v>
      </c>
      <c r="AA19" s="169">
        <v>2.5808253246085908E-2</v>
      </c>
      <c r="AB19" s="169">
        <v>2.5901702509077942E-2</v>
      </c>
      <c r="AC19" s="169">
        <v>2.5935101884282007E-2</v>
      </c>
      <c r="AD19" s="170">
        <v>1.976617127864766E-2</v>
      </c>
      <c r="AE19" s="170">
        <v>2.5714893705526709E-2</v>
      </c>
      <c r="AF19" s="170">
        <v>2.2736207424754351E-2</v>
      </c>
    </row>
    <row r="20" spans="2:32" x14ac:dyDescent="0.3">
      <c r="B20" s="1" t="s">
        <v>49</v>
      </c>
      <c r="C20" s="1" t="s">
        <v>54</v>
      </c>
      <c r="D20" s="1" t="s">
        <v>22</v>
      </c>
      <c r="E20" s="1" t="s">
        <v>51</v>
      </c>
      <c r="F20" s="5" t="str">
        <f t="shared" si="0"/>
        <v>Bridge - Metro - $250 mil-$500 mil</v>
      </c>
      <c r="G20" s="168">
        <v>3.3406373384813344E-2</v>
      </c>
      <c r="H20" s="168">
        <v>3.0975960189947287E-2</v>
      </c>
      <c r="I20" s="168">
        <v>2.631368604163789E-2</v>
      </c>
      <c r="J20" s="168">
        <v>2.1360533843452354E-2</v>
      </c>
      <c r="K20" s="168">
        <v>4.0438830282569053E-2</v>
      </c>
      <c r="L20" s="168">
        <v>2.5407021549983179E-2</v>
      </c>
      <c r="M20" s="168">
        <v>3.3529000026985133E-2</v>
      </c>
      <c r="N20" s="168">
        <v>3.3326508595360488E-2</v>
      </c>
      <c r="O20" s="168">
        <v>3.9123258771401451E-2</v>
      </c>
      <c r="P20" s="168">
        <v>1.785235433003771E-2</v>
      </c>
      <c r="Q20" s="168">
        <v>1.8922926162433493E-2</v>
      </c>
      <c r="R20" s="168">
        <v>9.9924784950387549E-2</v>
      </c>
      <c r="S20" s="168">
        <v>5.9773465345041209E-2</v>
      </c>
      <c r="T20" s="169">
        <v>2.4999171153124809E-2</v>
      </c>
      <c r="U20" s="169">
        <v>7.211092215790792E-3</v>
      </c>
      <c r="V20" s="169">
        <v>1.8279317001983021E-2</v>
      </c>
      <c r="W20" s="169">
        <v>2.3709800829676882E-2</v>
      </c>
      <c r="X20" s="169">
        <v>2.4743582391987352E-2</v>
      </c>
      <c r="Y20" s="169">
        <v>2.5303932979906147E-2</v>
      </c>
      <c r="Z20" s="169">
        <v>2.5625609036107201E-2</v>
      </c>
      <c r="AA20" s="169">
        <v>2.5808253246085908E-2</v>
      </c>
      <c r="AB20" s="169">
        <v>2.5901702509077942E-2</v>
      </c>
      <c r="AC20" s="169">
        <v>2.5935101884282007E-2</v>
      </c>
      <c r="AD20" s="170">
        <v>1.976617127864766E-2</v>
      </c>
      <c r="AE20" s="170">
        <v>2.5714893705526709E-2</v>
      </c>
      <c r="AF20" s="170">
        <v>2.2736207424754351E-2</v>
      </c>
    </row>
    <row r="21" spans="2:32" x14ac:dyDescent="0.3">
      <c r="B21" s="1" t="s">
        <v>49</v>
      </c>
      <c r="C21" s="1" t="s">
        <v>54</v>
      </c>
      <c r="D21" s="1" t="s">
        <v>22</v>
      </c>
      <c r="E21" s="1" t="s">
        <v>23</v>
      </c>
      <c r="F21" s="5" t="str">
        <f t="shared" si="0"/>
        <v>Bridge - Metro - $500 mil-$1 bn</v>
      </c>
      <c r="G21" s="168">
        <v>3.3406373384813344E-2</v>
      </c>
      <c r="H21" s="168">
        <v>3.0975960189947287E-2</v>
      </c>
      <c r="I21" s="168">
        <v>2.631368604163789E-2</v>
      </c>
      <c r="J21" s="168">
        <v>2.1360533843452354E-2</v>
      </c>
      <c r="K21" s="168">
        <v>4.0438830282569053E-2</v>
      </c>
      <c r="L21" s="168">
        <v>2.5407021549983179E-2</v>
      </c>
      <c r="M21" s="168">
        <v>3.3529000026985133E-2</v>
      </c>
      <c r="N21" s="168">
        <v>3.3326508595360488E-2</v>
      </c>
      <c r="O21" s="168">
        <v>3.9123258771401451E-2</v>
      </c>
      <c r="P21" s="168">
        <v>1.785235433003771E-2</v>
      </c>
      <c r="Q21" s="168">
        <v>1.8922926162433493E-2</v>
      </c>
      <c r="R21" s="168">
        <v>9.9924784950387549E-2</v>
      </c>
      <c r="S21" s="168">
        <v>5.9773465345041209E-2</v>
      </c>
      <c r="T21" s="169">
        <v>2.4999171153124809E-2</v>
      </c>
      <c r="U21" s="169">
        <v>7.211092215790792E-3</v>
      </c>
      <c r="V21" s="169">
        <v>1.8279317001983021E-2</v>
      </c>
      <c r="W21" s="169">
        <v>2.3709800829676882E-2</v>
      </c>
      <c r="X21" s="169">
        <v>2.4743582391987352E-2</v>
      </c>
      <c r="Y21" s="169">
        <v>2.5303932979906147E-2</v>
      </c>
      <c r="Z21" s="169">
        <v>2.5625609036107201E-2</v>
      </c>
      <c r="AA21" s="169">
        <v>2.5808253246085908E-2</v>
      </c>
      <c r="AB21" s="169">
        <v>2.5901702509077942E-2</v>
      </c>
      <c r="AC21" s="169">
        <v>2.5935101884282007E-2</v>
      </c>
      <c r="AD21" s="170">
        <v>1.976617127864766E-2</v>
      </c>
      <c r="AE21" s="170">
        <v>2.5714893705526709E-2</v>
      </c>
      <c r="AF21" s="170">
        <v>2.2736207424754351E-2</v>
      </c>
    </row>
    <row r="22" spans="2:32" x14ac:dyDescent="0.3">
      <c r="B22" s="1" t="s">
        <v>49</v>
      </c>
      <c r="C22" s="1" t="s">
        <v>54</v>
      </c>
      <c r="D22" s="1" t="s">
        <v>22</v>
      </c>
      <c r="E22" s="1" t="s">
        <v>52</v>
      </c>
      <c r="F22" s="5" t="str">
        <f t="shared" si="0"/>
        <v>Bridge - Metro - $1 bn-$5 bn</v>
      </c>
      <c r="G22" s="168">
        <v>3.3406373384813344E-2</v>
      </c>
      <c r="H22" s="168">
        <v>3.0975960189947287E-2</v>
      </c>
      <c r="I22" s="168">
        <v>2.631368604163789E-2</v>
      </c>
      <c r="J22" s="168">
        <v>2.1360533843452354E-2</v>
      </c>
      <c r="K22" s="168">
        <v>4.0438830282569053E-2</v>
      </c>
      <c r="L22" s="168">
        <v>2.5407021549983179E-2</v>
      </c>
      <c r="M22" s="168">
        <v>3.3529000026985133E-2</v>
      </c>
      <c r="N22" s="168">
        <v>3.3326508595360488E-2</v>
      </c>
      <c r="O22" s="168">
        <v>3.9123258771401451E-2</v>
      </c>
      <c r="P22" s="168">
        <v>1.785235433003771E-2</v>
      </c>
      <c r="Q22" s="168">
        <v>1.8922926162433493E-2</v>
      </c>
      <c r="R22" s="168">
        <v>9.9924784950387549E-2</v>
      </c>
      <c r="S22" s="168">
        <v>5.9773465345041209E-2</v>
      </c>
      <c r="T22" s="169">
        <v>2.4999171153124809E-2</v>
      </c>
      <c r="U22" s="169">
        <v>7.211092215790792E-3</v>
      </c>
      <c r="V22" s="169">
        <v>1.8279317001983021E-2</v>
      </c>
      <c r="W22" s="169">
        <v>2.3709800829676882E-2</v>
      </c>
      <c r="X22" s="169">
        <v>2.4743582391987352E-2</v>
      </c>
      <c r="Y22" s="169">
        <v>2.5303932979906147E-2</v>
      </c>
      <c r="Z22" s="169">
        <v>2.5625609036107201E-2</v>
      </c>
      <c r="AA22" s="169">
        <v>2.5808253246085908E-2</v>
      </c>
      <c r="AB22" s="169">
        <v>2.5901702509077942E-2</v>
      </c>
      <c r="AC22" s="169">
        <v>2.5935101884282007E-2</v>
      </c>
      <c r="AD22" s="170">
        <v>1.976617127864766E-2</v>
      </c>
      <c r="AE22" s="170">
        <v>2.5714893705526709E-2</v>
      </c>
      <c r="AF22" s="170">
        <v>2.2736207424754351E-2</v>
      </c>
    </row>
    <row r="23" spans="2:32" x14ac:dyDescent="0.3">
      <c r="B23" s="1" t="s">
        <v>49</v>
      </c>
      <c r="C23" s="1" t="s">
        <v>54</v>
      </c>
      <c r="D23" s="1" t="s">
        <v>22</v>
      </c>
      <c r="E23" s="1" t="s">
        <v>28</v>
      </c>
      <c r="F23" s="5" t="str">
        <f t="shared" si="0"/>
        <v>Bridge - Metro - &gt;$5 bn</v>
      </c>
      <c r="G23" s="168">
        <v>3.3406373384813344E-2</v>
      </c>
      <c r="H23" s="168">
        <v>3.0975960189947287E-2</v>
      </c>
      <c r="I23" s="168">
        <v>2.631368604163789E-2</v>
      </c>
      <c r="J23" s="168">
        <v>2.1360533843452354E-2</v>
      </c>
      <c r="K23" s="168">
        <v>4.0438830282569053E-2</v>
      </c>
      <c r="L23" s="168">
        <v>2.5407021549983179E-2</v>
      </c>
      <c r="M23" s="168">
        <v>3.3529000026985133E-2</v>
      </c>
      <c r="N23" s="168">
        <v>3.3326508595360488E-2</v>
      </c>
      <c r="O23" s="168">
        <v>3.9123258771401451E-2</v>
      </c>
      <c r="P23" s="168">
        <v>1.785235433003771E-2</v>
      </c>
      <c r="Q23" s="168">
        <v>1.8922926162433493E-2</v>
      </c>
      <c r="R23" s="168">
        <v>9.9924784950387549E-2</v>
      </c>
      <c r="S23" s="168">
        <v>5.9773465345041209E-2</v>
      </c>
      <c r="T23" s="169">
        <v>2.4999171153124809E-2</v>
      </c>
      <c r="U23" s="169">
        <v>7.211092215790792E-3</v>
      </c>
      <c r="V23" s="169">
        <v>1.8279317001983021E-2</v>
      </c>
      <c r="W23" s="169">
        <v>2.3709800829676882E-2</v>
      </c>
      <c r="X23" s="169">
        <v>2.4743582391987352E-2</v>
      </c>
      <c r="Y23" s="169">
        <v>2.5303932979906147E-2</v>
      </c>
      <c r="Z23" s="169">
        <v>2.5625609036107201E-2</v>
      </c>
      <c r="AA23" s="169">
        <v>2.5808253246085908E-2</v>
      </c>
      <c r="AB23" s="169">
        <v>2.5901702509077942E-2</v>
      </c>
      <c r="AC23" s="169">
        <v>2.5935101884282007E-2</v>
      </c>
      <c r="AD23" s="170">
        <v>1.976617127864766E-2</v>
      </c>
      <c r="AE23" s="170">
        <v>2.5714893705526709E-2</v>
      </c>
      <c r="AF23" s="170">
        <v>2.2736207424754351E-2</v>
      </c>
    </row>
    <row r="24" spans="2:32" x14ac:dyDescent="0.3">
      <c r="B24" s="1" t="s">
        <v>49</v>
      </c>
      <c r="C24" s="1" t="s">
        <v>54</v>
      </c>
      <c r="D24" s="1" t="s">
        <v>53</v>
      </c>
      <c r="E24" s="1" t="s">
        <v>50</v>
      </c>
      <c r="F24" s="5" t="str">
        <f t="shared" si="0"/>
        <v>Bridge - Regional - &lt;$250 mil</v>
      </c>
      <c r="G24" s="168">
        <v>3.5659301435824166E-2</v>
      </c>
      <c r="H24" s="168">
        <v>3.1699185759928625E-2</v>
      </c>
      <c r="I24" s="168">
        <v>2.7199991470083475E-2</v>
      </c>
      <c r="J24" s="168">
        <v>2.1824454703415111E-2</v>
      </c>
      <c r="K24" s="168">
        <v>3.8856148327217135E-2</v>
      </c>
      <c r="L24" s="168">
        <v>2.5755636317244254E-2</v>
      </c>
      <c r="M24" s="168">
        <v>3.2871629151068692E-2</v>
      </c>
      <c r="N24" s="168">
        <v>3.345802779396459E-2</v>
      </c>
      <c r="O24" s="168">
        <v>3.9865205909980807E-2</v>
      </c>
      <c r="P24" s="168">
        <v>1.8010068429450337E-2</v>
      </c>
      <c r="Q24" s="168">
        <v>1.9677013558636863E-2</v>
      </c>
      <c r="R24" s="168">
        <v>9.5745349269936983E-2</v>
      </c>
      <c r="S24" s="168">
        <v>5.9116203879799066E-2</v>
      </c>
      <c r="T24" s="169">
        <v>2.7202557609631646E-2</v>
      </c>
      <c r="U24" s="169">
        <v>9.1066069750077826E-3</v>
      </c>
      <c r="V24" s="169">
        <v>1.9036508983691799E-2</v>
      </c>
      <c r="W24" s="169">
        <v>2.401352943318447E-2</v>
      </c>
      <c r="X24" s="169">
        <v>2.4993942441306306E-2</v>
      </c>
      <c r="Y24" s="169">
        <v>2.5544914756746199E-2</v>
      </c>
      <c r="Z24" s="169">
        <v>2.5865309402733825E-2</v>
      </c>
      <c r="AA24" s="169">
        <v>2.6047938296910822E-2</v>
      </c>
      <c r="AB24" s="169">
        <v>2.614156211654272E-2</v>
      </c>
      <c r="AC24" s="169">
        <v>2.6175217319306616E-2</v>
      </c>
      <c r="AD24" s="170">
        <v>2.0850100281765593E-2</v>
      </c>
      <c r="AE24" s="170">
        <v>2.595496223826288E-2</v>
      </c>
      <c r="AF24" s="170">
        <v>2.3399348292496125E-2</v>
      </c>
    </row>
    <row r="25" spans="2:32" x14ac:dyDescent="0.3">
      <c r="B25" s="1" t="s">
        <v>49</v>
      </c>
      <c r="C25" s="1" t="s">
        <v>54</v>
      </c>
      <c r="D25" s="1" t="s">
        <v>53</v>
      </c>
      <c r="E25" s="1" t="s">
        <v>51</v>
      </c>
      <c r="F25" s="5" t="str">
        <f t="shared" si="0"/>
        <v>Bridge - Regional - $250 mil-$500 mil</v>
      </c>
      <c r="G25" s="168">
        <v>3.5659301435824166E-2</v>
      </c>
      <c r="H25" s="168">
        <v>3.1699185759928625E-2</v>
      </c>
      <c r="I25" s="168">
        <v>2.7199991470083475E-2</v>
      </c>
      <c r="J25" s="168">
        <v>2.1824454703415111E-2</v>
      </c>
      <c r="K25" s="168">
        <v>3.8856148327217135E-2</v>
      </c>
      <c r="L25" s="168">
        <v>2.5755636317244254E-2</v>
      </c>
      <c r="M25" s="168">
        <v>3.2871629151068692E-2</v>
      </c>
      <c r="N25" s="168">
        <v>3.345802779396459E-2</v>
      </c>
      <c r="O25" s="168">
        <v>3.9865205909980807E-2</v>
      </c>
      <c r="P25" s="168">
        <v>1.8010068429450337E-2</v>
      </c>
      <c r="Q25" s="168">
        <v>1.9677013558636863E-2</v>
      </c>
      <c r="R25" s="168">
        <v>9.5745349269936983E-2</v>
      </c>
      <c r="S25" s="168">
        <v>5.9116203879799066E-2</v>
      </c>
      <c r="T25" s="169">
        <v>2.7202557609631646E-2</v>
      </c>
      <c r="U25" s="169">
        <v>9.1066069750077826E-3</v>
      </c>
      <c r="V25" s="169">
        <v>1.9036508983691799E-2</v>
      </c>
      <c r="W25" s="169">
        <v>2.401352943318447E-2</v>
      </c>
      <c r="X25" s="169">
        <v>2.4993942441306306E-2</v>
      </c>
      <c r="Y25" s="169">
        <v>2.5544914756746199E-2</v>
      </c>
      <c r="Z25" s="169">
        <v>2.5865309402733825E-2</v>
      </c>
      <c r="AA25" s="169">
        <v>2.6047938296910822E-2</v>
      </c>
      <c r="AB25" s="169">
        <v>2.614156211654272E-2</v>
      </c>
      <c r="AC25" s="169">
        <v>2.6175217319306616E-2</v>
      </c>
      <c r="AD25" s="170">
        <v>2.0850100281765593E-2</v>
      </c>
      <c r="AE25" s="170">
        <v>2.595496223826288E-2</v>
      </c>
      <c r="AF25" s="170">
        <v>2.3399348292496125E-2</v>
      </c>
    </row>
    <row r="26" spans="2:32" x14ac:dyDescent="0.3">
      <c r="B26" s="1" t="s">
        <v>49</v>
      </c>
      <c r="C26" s="1" t="s">
        <v>54</v>
      </c>
      <c r="D26" s="1" t="s">
        <v>53</v>
      </c>
      <c r="E26" s="1" t="s">
        <v>23</v>
      </c>
      <c r="F26" s="5" t="str">
        <f t="shared" si="0"/>
        <v>Bridge - Regional - $500 mil-$1 bn</v>
      </c>
      <c r="G26" s="168">
        <v>3.5659301435824166E-2</v>
      </c>
      <c r="H26" s="168">
        <v>3.1699185759928625E-2</v>
      </c>
      <c r="I26" s="168">
        <v>2.7199991470083475E-2</v>
      </c>
      <c r="J26" s="168">
        <v>2.1824454703415111E-2</v>
      </c>
      <c r="K26" s="168">
        <v>3.8856148327217135E-2</v>
      </c>
      <c r="L26" s="168">
        <v>2.5755636317244254E-2</v>
      </c>
      <c r="M26" s="168">
        <v>3.2871629151068692E-2</v>
      </c>
      <c r="N26" s="168">
        <v>3.345802779396459E-2</v>
      </c>
      <c r="O26" s="168">
        <v>3.9865205909980807E-2</v>
      </c>
      <c r="P26" s="168">
        <v>1.8010068429450337E-2</v>
      </c>
      <c r="Q26" s="168">
        <v>1.9677013558636863E-2</v>
      </c>
      <c r="R26" s="168">
        <v>9.5745349269936983E-2</v>
      </c>
      <c r="S26" s="168">
        <v>5.9116203879799066E-2</v>
      </c>
      <c r="T26" s="169">
        <v>2.7202557609631646E-2</v>
      </c>
      <c r="U26" s="169">
        <v>9.1066069750077826E-3</v>
      </c>
      <c r="V26" s="169">
        <v>1.9036508983691799E-2</v>
      </c>
      <c r="W26" s="169">
        <v>2.401352943318447E-2</v>
      </c>
      <c r="X26" s="169">
        <v>2.4993942441306306E-2</v>
      </c>
      <c r="Y26" s="169">
        <v>2.5544914756746199E-2</v>
      </c>
      <c r="Z26" s="169">
        <v>2.5865309402733825E-2</v>
      </c>
      <c r="AA26" s="169">
        <v>2.6047938296910822E-2</v>
      </c>
      <c r="AB26" s="169">
        <v>2.614156211654272E-2</v>
      </c>
      <c r="AC26" s="169">
        <v>2.6175217319306616E-2</v>
      </c>
      <c r="AD26" s="170">
        <v>2.0850100281765593E-2</v>
      </c>
      <c r="AE26" s="170">
        <v>2.595496223826288E-2</v>
      </c>
      <c r="AF26" s="170">
        <v>2.3399348292496125E-2</v>
      </c>
    </row>
    <row r="27" spans="2:32" x14ac:dyDescent="0.3">
      <c r="B27" s="1" t="s">
        <v>49</v>
      </c>
      <c r="C27" s="1" t="s">
        <v>54</v>
      </c>
      <c r="D27" s="1" t="s">
        <v>53</v>
      </c>
      <c r="E27" s="1" t="s">
        <v>52</v>
      </c>
      <c r="F27" s="5" t="str">
        <f t="shared" si="0"/>
        <v>Bridge - Regional - $1 bn-$5 bn</v>
      </c>
      <c r="G27" s="168">
        <v>3.5659301435824166E-2</v>
      </c>
      <c r="H27" s="168">
        <v>3.1699185759928625E-2</v>
      </c>
      <c r="I27" s="168">
        <v>2.7199991470083475E-2</v>
      </c>
      <c r="J27" s="168">
        <v>2.1824454703415111E-2</v>
      </c>
      <c r="K27" s="168">
        <v>3.8856148327217135E-2</v>
      </c>
      <c r="L27" s="168">
        <v>2.5755636317244254E-2</v>
      </c>
      <c r="M27" s="168">
        <v>3.2871629151068692E-2</v>
      </c>
      <c r="N27" s="168">
        <v>3.345802779396459E-2</v>
      </c>
      <c r="O27" s="168">
        <v>3.9865205909980807E-2</v>
      </c>
      <c r="P27" s="168">
        <v>1.8010068429450337E-2</v>
      </c>
      <c r="Q27" s="168">
        <v>1.9677013558636863E-2</v>
      </c>
      <c r="R27" s="168">
        <v>9.5745349269936983E-2</v>
      </c>
      <c r="S27" s="168">
        <v>5.9116203879799066E-2</v>
      </c>
      <c r="T27" s="169">
        <v>2.7202557609631646E-2</v>
      </c>
      <c r="U27" s="169">
        <v>9.1066069750077826E-3</v>
      </c>
      <c r="V27" s="169">
        <v>1.9036508983691799E-2</v>
      </c>
      <c r="W27" s="169">
        <v>2.401352943318447E-2</v>
      </c>
      <c r="X27" s="169">
        <v>2.4993942441306306E-2</v>
      </c>
      <c r="Y27" s="169">
        <v>2.5544914756746199E-2</v>
      </c>
      <c r="Z27" s="169">
        <v>2.5865309402733825E-2</v>
      </c>
      <c r="AA27" s="169">
        <v>2.6047938296910822E-2</v>
      </c>
      <c r="AB27" s="169">
        <v>2.614156211654272E-2</v>
      </c>
      <c r="AC27" s="169">
        <v>2.6175217319306616E-2</v>
      </c>
      <c r="AD27" s="170">
        <v>2.0850100281765593E-2</v>
      </c>
      <c r="AE27" s="170">
        <v>2.595496223826288E-2</v>
      </c>
      <c r="AF27" s="170">
        <v>2.3399348292496125E-2</v>
      </c>
    </row>
    <row r="28" spans="2:32" x14ac:dyDescent="0.3">
      <c r="B28" s="1" t="s">
        <v>49</v>
      </c>
      <c r="C28" s="1" t="s">
        <v>54</v>
      </c>
      <c r="D28" s="1" t="s">
        <v>53</v>
      </c>
      <c r="E28" s="1" t="s">
        <v>28</v>
      </c>
      <c r="F28" s="5" t="str">
        <f t="shared" si="0"/>
        <v>Bridge - Regional - &gt;$5 bn</v>
      </c>
      <c r="G28" s="168">
        <v>3.5659301435824166E-2</v>
      </c>
      <c r="H28" s="168">
        <v>3.1699185759928625E-2</v>
      </c>
      <c r="I28" s="168">
        <v>2.7199991470083475E-2</v>
      </c>
      <c r="J28" s="168">
        <v>2.1824454703415111E-2</v>
      </c>
      <c r="K28" s="168">
        <v>3.8856148327217135E-2</v>
      </c>
      <c r="L28" s="168">
        <v>2.5755636317244254E-2</v>
      </c>
      <c r="M28" s="168">
        <v>3.2871629151068692E-2</v>
      </c>
      <c r="N28" s="168">
        <v>3.345802779396459E-2</v>
      </c>
      <c r="O28" s="168">
        <v>3.9865205909980807E-2</v>
      </c>
      <c r="P28" s="168">
        <v>1.8010068429450337E-2</v>
      </c>
      <c r="Q28" s="168">
        <v>1.9677013558636863E-2</v>
      </c>
      <c r="R28" s="168">
        <v>9.5745349269936983E-2</v>
      </c>
      <c r="S28" s="168">
        <v>5.9116203879799066E-2</v>
      </c>
      <c r="T28" s="169">
        <v>2.7202557609631646E-2</v>
      </c>
      <c r="U28" s="169">
        <v>9.1066069750077826E-3</v>
      </c>
      <c r="V28" s="169">
        <v>1.9036508983691799E-2</v>
      </c>
      <c r="W28" s="169">
        <v>2.401352943318447E-2</v>
      </c>
      <c r="X28" s="169">
        <v>2.4993942441306306E-2</v>
      </c>
      <c r="Y28" s="169">
        <v>2.5544914756746199E-2</v>
      </c>
      <c r="Z28" s="169">
        <v>2.5865309402733825E-2</v>
      </c>
      <c r="AA28" s="169">
        <v>2.6047938296910822E-2</v>
      </c>
      <c r="AB28" s="169">
        <v>2.614156211654272E-2</v>
      </c>
      <c r="AC28" s="169">
        <v>2.6175217319306616E-2</v>
      </c>
      <c r="AD28" s="170">
        <v>2.0850100281765593E-2</v>
      </c>
      <c r="AE28" s="170">
        <v>2.595496223826288E-2</v>
      </c>
      <c r="AF28" s="170">
        <v>2.3399348292496125E-2</v>
      </c>
    </row>
    <row r="29" spans="2:32" x14ac:dyDescent="0.3">
      <c r="B29" s="1" t="s">
        <v>49</v>
      </c>
      <c r="C29" s="1" t="s">
        <v>55</v>
      </c>
      <c r="D29" s="1" t="s">
        <v>22</v>
      </c>
      <c r="E29" s="1" t="s">
        <v>50</v>
      </c>
      <c r="F29" s="5" t="str">
        <f t="shared" si="0"/>
        <v>Rail - Metro - &lt;$250 mil</v>
      </c>
      <c r="G29" s="168">
        <v>2.6462923632766609E-2</v>
      </c>
      <c r="H29" s="168">
        <v>3.3156955031282929E-2</v>
      </c>
      <c r="I29" s="168">
        <v>2.7070843942827834E-2</v>
      </c>
      <c r="J29" s="168">
        <v>2.2301496695313391E-2</v>
      </c>
      <c r="K29" s="168">
        <v>4.5189309866823499E-2</v>
      </c>
      <c r="L29" s="168">
        <v>2.1598446755828903E-2</v>
      </c>
      <c r="M29" s="168">
        <v>2.996130102525776E-2</v>
      </c>
      <c r="N29" s="168">
        <v>3.2400878828448457E-2</v>
      </c>
      <c r="O29" s="168">
        <v>3.8433566236625694E-2</v>
      </c>
      <c r="P29" s="168">
        <v>2.4077999751232232E-2</v>
      </c>
      <c r="Q29" s="168">
        <v>1.4791050629431859E-2</v>
      </c>
      <c r="R29" s="168">
        <v>9.8629234391898163E-2</v>
      </c>
      <c r="S29" s="168">
        <v>5.892002464984894E-2</v>
      </c>
      <c r="T29" s="169">
        <v>2.3222124650482023E-2</v>
      </c>
      <c r="U29" s="169">
        <v>5.6882335602645873E-3</v>
      </c>
      <c r="V29" s="169">
        <v>1.9936397618892366E-2</v>
      </c>
      <c r="W29" s="169">
        <v>2.4949947737340904E-2</v>
      </c>
      <c r="X29" s="169">
        <v>2.575456180669335E-2</v>
      </c>
      <c r="Y29" s="169">
        <v>2.6146921739195014E-2</v>
      </c>
      <c r="Z29" s="169">
        <v>2.6350858093865524E-2</v>
      </c>
      <c r="AA29" s="169">
        <v>2.6450101111569348E-2</v>
      </c>
      <c r="AB29" s="169">
        <v>2.6483059924017067E-2</v>
      </c>
      <c r="AC29" s="169">
        <v>2.6471527445276567E-2</v>
      </c>
      <c r="AD29" s="170">
        <v>1.9883343933030151E-2</v>
      </c>
      <c r="AE29" s="170">
        <v>2.6380485956755573E-2</v>
      </c>
      <c r="AF29" s="170">
        <v>2.3126757623503913E-2</v>
      </c>
    </row>
    <row r="30" spans="2:32" x14ac:dyDescent="0.3">
      <c r="B30" s="1" t="s">
        <v>49</v>
      </c>
      <c r="C30" s="1" t="s">
        <v>55</v>
      </c>
      <c r="D30" s="1" t="s">
        <v>22</v>
      </c>
      <c r="E30" s="1" t="s">
        <v>51</v>
      </c>
      <c r="F30" s="5" t="str">
        <f t="shared" si="0"/>
        <v>Rail - Metro - $250 mil-$500 mil</v>
      </c>
      <c r="G30" s="168">
        <v>2.6462923632766609E-2</v>
      </c>
      <c r="H30" s="168">
        <v>3.3156955031282929E-2</v>
      </c>
      <c r="I30" s="168">
        <v>2.7070843942827834E-2</v>
      </c>
      <c r="J30" s="168">
        <v>2.2301496695313391E-2</v>
      </c>
      <c r="K30" s="168">
        <v>4.5189309866823499E-2</v>
      </c>
      <c r="L30" s="168">
        <v>2.1598446755828903E-2</v>
      </c>
      <c r="M30" s="168">
        <v>2.996130102525776E-2</v>
      </c>
      <c r="N30" s="168">
        <v>3.2400878828448457E-2</v>
      </c>
      <c r="O30" s="168">
        <v>3.8433566236625694E-2</v>
      </c>
      <c r="P30" s="168">
        <v>2.4077999751232232E-2</v>
      </c>
      <c r="Q30" s="168">
        <v>1.4791050629431859E-2</v>
      </c>
      <c r="R30" s="168">
        <v>9.8629234391898163E-2</v>
      </c>
      <c r="S30" s="168">
        <v>5.892002464984894E-2</v>
      </c>
      <c r="T30" s="169">
        <v>2.3222124650482023E-2</v>
      </c>
      <c r="U30" s="169">
        <v>5.6882335602645873E-3</v>
      </c>
      <c r="V30" s="169">
        <v>1.9936397618892366E-2</v>
      </c>
      <c r="W30" s="169">
        <v>2.4949947737340904E-2</v>
      </c>
      <c r="X30" s="169">
        <v>2.575456180669335E-2</v>
      </c>
      <c r="Y30" s="169">
        <v>2.6146921739195014E-2</v>
      </c>
      <c r="Z30" s="169">
        <v>2.6350858093865524E-2</v>
      </c>
      <c r="AA30" s="169">
        <v>2.6450101111569348E-2</v>
      </c>
      <c r="AB30" s="169">
        <v>2.6483059924017067E-2</v>
      </c>
      <c r="AC30" s="169">
        <v>2.6471527445276567E-2</v>
      </c>
      <c r="AD30" s="170">
        <v>1.9883343933030151E-2</v>
      </c>
      <c r="AE30" s="170">
        <v>2.6380485956755573E-2</v>
      </c>
      <c r="AF30" s="170">
        <v>2.3126757623503913E-2</v>
      </c>
    </row>
    <row r="31" spans="2:32" x14ac:dyDescent="0.3">
      <c r="B31" s="1" t="s">
        <v>49</v>
      </c>
      <c r="C31" s="1" t="s">
        <v>55</v>
      </c>
      <c r="D31" s="1" t="s">
        <v>22</v>
      </c>
      <c r="E31" s="1" t="s">
        <v>23</v>
      </c>
      <c r="F31" s="5" t="str">
        <f t="shared" si="0"/>
        <v>Rail - Metro - $500 mil-$1 bn</v>
      </c>
      <c r="G31" s="168">
        <v>2.6462923632766609E-2</v>
      </c>
      <c r="H31" s="168">
        <v>3.3156955031282929E-2</v>
      </c>
      <c r="I31" s="168">
        <v>2.7070843942827834E-2</v>
      </c>
      <c r="J31" s="168">
        <v>2.2301496695313391E-2</v>
      </c>
      <c r="K31" s="168">
        <v>4.5189309866823499E-2</v>
      </c>
      <c r="L31" s="168">
        <v>2.1598446755828903E-2</v>
      </c>
      <c r="M31" s="168">
        <v>2.996130102525776E-2</v>
      </c>
      <c r="N31" s="168">
        <v>3.2400878828448457E-2</v>
      </c>
      <c r="O31" s="168">
        <v>3.8433566236625694E-2</v>
      </c>
      <c r="P31" s="168">
        <v>2.4077999751232232E-2</v>
      </c>
      <c r="Q31" s="168">
        <v>1.4791050629431859E-2</v>
      </c>
      <c r="R31" s="168">
        <v>9.8629234391898163E-2</v>
      </c>
      <c r="S31" s="168">
        <v>5.892002464984894E-2</v>
      </c>
      <c r="T31" s="169">
        <v>2.3222124650482023E-2</v>
      </c>
      <c r="U31" s="169">
        <v>5.6882335602645873E-3</v>
      </c>
      <c r="V31" s="169">
        <v>1.9936397618892366E-2</v>
      </c>
      <c r="W31" s="169">
        <v>2.4949947737340904E-2</v>
      </c>
      <c r="X31" s="169">
        <v>2.575456180669335E-2</v>
      </c>
      <c r="Y31" s="169">
        <v>2.6146921739195014E-2</v>
      </c>
      <c r="Z31" s="169">
        <v>2.6350858093865524E-2</v>
      </c>
      <c r="AA31" s="169">
        <v>2.6450101111569348E-2</v>
      </c>
      <c r="AB31" s="169">
        <v>2.6483059924017067E-2</v>
      </c>
      <c r="AC31" s="169">
        <v>2.6471527445276567E-2</v>
      </c>
      <c r="AD31" s="170">
        <v>1.9883343933030151E-2</v>
      </c>
      <c r="AE31" s="170">
        <v>2.6380485956755573E-2</v>
      </c>
      <c r="AF31" s="170">
        <v>2.3126757623503913E-2</v>
      </c>
    </row>
    <row r="32" spans="2:32" x14ac:dyDescent="0.3">
      <c r="B32" s="1" t="s">
        <v>49</v>
      </c>
      <c r="C32" s="1" t="s">
        <v>55</v>
      </c>
      <c r="D32" s="1" t="s">
        <v>22</v>
      </c>
      <c r="E32" s="1" t="s">
        <v>52</v>
      </c>
      <c r="F32" s="5" t="str">
        <f t="shared" si="0"/>
        <v>Rail - Metro - $1 bn-$5 bn</v>
      </c>
      <c r="G32" s="168">
        <v>2.6462923632766609E-2</v>
      </c>
      <c r="H32" s="168">
        <v>3.3156955031282929E-2</v>
      </c>
      <c r="I32" s="168">
        <v>2.7070843942827834E-2</v>
      </c>
      <c r="J32" s="168">
        <v>2.2301496695313391E-2</v>
      </c>
      <c r="K32" s="168">
        <v>4.5189309866823499E-2</v>
      </c>
      <c r="L32" s="168">
        <v>2.1598446755828903E-2</v>
      </c>
      <c r="M32" s="168">
        <v>2.996130102525776E-2</v>
      </c>
      <c r="N32" s="168">
        <v>3.2400878828448457E-2</v>
      </c>
      <c r="O32" s="168">
        <v>3.8433566236625694E-2</v>
      </c>
      <c r="P32" s="168">
        <v>2.4077999751232232E-2</v>
      </c>
      <c r="Q32" s="168">
        <v>1.4791050629431859E-2</v>
      </c>
      <c r="R32" s="168">
        <v>9.8629234391898163E-2</v>
      </c>
      <c r="S32" s="168">
        <v>5.892002464984894E-2</v>
      </c>
      <c r="T32" s="169">
        <v>2.3222124650482023E-2</v>
      </c>
      <c r="U32" s="169">
        <v>5.6882335602645873E-3</v>
      </c>
      <c r="V32" s="169">
        <v>1.9936397618892366E-2</v>
      </c>
      <c r="W32" s="169">
        <v>2.4949947737340904E-2</v>
      </c>
      <c r="X32" s="169">
        <v>2.575456180669335E-2</v>
      </c>
      <c r="Y32" s="169">
        <v>2.6146921739195014E-2</v>
      </c>
      <c r="Z32" s="169">
        <v>2.6350858093865524E-2</v>
      </c>
      <c r="AA32" s="169">
        <v>2.6450101111569348E-2</v>
      </c>
      <c r="AB32" s="169">
        <v>2.6483059924017067E-2</v>
      </c>
      <c r="AC32" s="169">
        <v>2.6471527445276567E-2</v>
      </c>
      <c r="AD32" s="170">
        <v>1.9883343933030151E-2</v>
      </c>
      <c r="AE32" s="170">
        <v>2.6380485956755573E-2</v>
      </c>
      <c r="AF32" s="170">
        <v>2.3126757623503913E-2</v>
      </c>
    </row>
    <row r="33" spans="2:32" x14ac:dyDescent="0.3">
      <c r="B33" s="1" t="s">
        <v>49</v>
      </c>
      <c r="C33" s="1" t="s">
        <v>55</v>
      </c>
      <c r="D33" s="1" t="s">
        <v>22</v>
      </c>
      <c r="E33" s="1" t="s">
        <v>28</v>
      </c>
      <c r="F33" s="5" t="str">
        <f t="shared" si="0"/>
        <v>Rail - Metro - &gt;$5 bn</v>
      </c>
      <c r="G33" s="168">
        <v>2.6462923632766609E-2</v>
      </c>
      <c r="H33" s="168">
        <v>3.3156955031282929E-2</v>
      </c>
      <c r="I33" s="168">
        <v>2.7070843942827834E-2</v>
      </c>
      <c r="J33" s="168">
        <v>2.2301496695313391E-2</v>
      </c>
      <c r="K33" s="168">
        <v>4.5189309866823499E-2</v>
      </c>
      <c r="L33" s="168">
        <v>2.1598446755828903E-2</v>
      </c>
      <c r="M33" s="168">
        <v>2.996130102525776E-2</v>
      </c>
      <c r="N33" s="168">
        <v>3.2400878828448457E-2</v>
      </c>
      <c r="O33" s="168">
        <v>3.8433566236625694E-2</v>
      </c>
      <c r="P33" s="168">
        <v>2.4077999751232232E-2</v>
      </c>
      <c r="Q33" s="168">
        <v>1.4791050629431859E-2</v>
      </c>
      <c r="R33" s="168">
        <v>9.8629234391898163E-2</v>
      </c>
      <c r="S33" s="168">
        <v>5.892002464984894E-2</v>
      </c>
      <c r="T33" s="169">
        <v>2.3222124650482023E-2</v>
      </c>
      <c r="U33" s="169">
        <v>5.6882335602645873E-3</v>
      </c>
      <c r="V33" s="169">
        <v>1.9936397618892366E-2</v>
      </c>
      <c r="W33" s="169">
        <v>2.4949947737340904E-2</v>
      </c>
      <c r="X33" s="169">
        <v>2.575456180669335E-2</v>
      </c>
      <c r="Y33" s="169">
        <v>2.6146921739195014E-2</v>
      </c>
      <c r="Z33" s="169">
        <v>2.6350858093865524E-2</v>
      </c>
      <c r="AA33" s="169">
        <v>2.6450101111569348E-2</v>
      </c>
      <c r="AB33" s="169">
        <v>2.6483059924017067E-2</v>
      </c>
      <c r="AC33" s="169">
        <v>2.6471527445276567E-2</v>
      </c>
      <c r="AD33" s="170">
        <v>1.9883343933030151E-2</v>
      </c>
      <c r="AE33" s="170">
        <v>2.6380485956755573E-2</v>
      </c>
      <c r="AF33" s="170">
        <v>2.3126757623503913E-2</v>
      </c>
    </row>
    <row r="34" spans="2:32" x14ac:dyDescent="0.3">
      <c r="B34" s="1" t="s">
        <v>49</v>
      </c>
      <c r="C34" s="1" t="s">
        <v>55</v>
      </c>
      <c r="D34" s="1" t="s">
        <v>53</v>
      </c>
      <c r="E34" s="1" t="s">
        <v>50</v>
      </c>
      <c r="F34" s="5" t="str">
        <f t="shared" si="0"/>
        <v>Rail - Regional - &lt;$250 mil</v>
      </c>
      <c r="G34" s="168">
        <v>3.1834646338664258E-2</v>
      </c>
      <c r="H34" s="168">
        <v>3.4734992570606894E-2</v>
      </c>
      <c r="I34" s="168">
        <v>2.8260984103065906E-2</v>
      </c>
      <c r="J34" s="168">
        <v>2.2857110864745327E-2</v>
      </c>
      <c r="K34" s="168">
        <v>4.3881107025345173E-2</v>
      </c>
      <c r="L34" s="168">
        <v>2.4156096816735365E-2</v>
      </c>
      <c r="M34" s="168">
        <v>3.125874725283919E-2</v>
      </c>
      <c r="N34" s="168">
        <v>3.2765997333100795E-2</v>
      </c>
      <c r="O34" s="168">
        <v>4.3024067969886046E-2</v>
      </c>
      <c r="P34" s="168">
        <v>2.4077802583584395E-2</v>
      </c>
      <c r="Q34" s="168">
        <v>1.7754906824548056E-2</v>
      </c>
      <c r="R34" s="168">
        <v>9.7345098222127072E-2</v>
      </c>
      <c r="S34" s="168">
        <v>5.6187463960997573E-2</v>
      </c>
      <c r="T34" s="169">
        <v>2.4818132405607155E-2</v>
      </c>
      <c r="U34" s="169">
        <v>8.2012355142168404E-3</v>
      </c>
      <c r="V34" s="169">
        <v>2.1112524152008275E-2</v>
      </c>
      <c r="W34" s="169">
        <v>2.6009063447950006E-2</v>
      </c>
      <c r="X34" s="169">
        <v>2.677600212781742E-2</v>
      </c>
      <c r="Y34" s="169">
        <v>2.713675480742565E-2</v>
      </c>
      <c r="Z34" s="169">
        <v>2.7313306937820608E-2</v>
      </c>
      <c r="AA34" s="169">
        <v>2.7388482119498795E-2</v>
      </c>
      <c r="AB34" s="169">
        <v>2.7400058805118047E-2</v>
      </c>
      <c r="AC34" s="169">
        <v>2.7369373750143814E-2</v>
      </c>
      <c r="AD34" s="170">
        <v>2.1360145460504798E-2</v>
      </c>
      <c r="AE34" s="170">
        <v>2.7321590694262987E-2</v>
      </c>
      <c r="AF34" s="170">
        <v>2.4336531275835016E-2</v>
      </c>
    </row>
    <row r="35" spans="2:32" x14ac:dyDescent="0.3">
      <c r="B35" s="1" t="s">
        <v>49</v>
      </c>
      <c r="C35" s="1" t="s">
        <v>55</v>
      </c>
      <c r="D35" s="1" t="s">
        <v>53</v>
      </c>
      <c r="E35" s="1" t="s">
        <v>51</v>
      </c>
      <c r="F35" s="5" t="str">
        <f t="shared" si="0"/>
        <v>Rail - Regional - $250 mil-$500 mil</v>
      </c>
      <c r="G35" s="168">
        <v>3.1834646338664258E-2</v>
      </c>
      <c r="H35" s="168">
        <v>3.4734992570606894E-2</v>
      </c>
      <c r="I35" s="168">
        <v>2.8260984103065906E-2</v>
      </c>
      <c r="J35" s="168">
        <v>2.2857110864745327E-2</v>
      </c>
      <c r="K35" s="168">
        <v>4.3881107025345173E-2</v>
      </c>
      <c r="L35" s="168">
        <v>2.4156096816735365E-2</v>
      </c>
      <c r="M35" s="168">
        <v>3.125874725283919E-2</v>
      </c>
      <c r="N35" s="168">
        <v>3.2765997333100795E-2</v>
      </c>
      <c r="O35" s="168">
        <v>4.3024067969886046E-2</v>
      </c>
      <c r="P35" s="168">
        <v>2.4077802583584395E-2</v>
      </c>
      <c r="Q35" s="168">
        <v>1.7754906824548056E-2</v>
      </c>
      <c r="R35" s="168">
        <v>9.7345098222127072E-2</v>
      </c>
      <c r="S35" s="168">
        <v>5.6187463960997573E-2</v>
      </c>
      <c r="T35" s="169">
        <v>2.4818132405607155E-2</v>
      </c>
      <c r="U35" s="169">
        <v>8.2012355142168404E-3</v>
      </c>
      <c r="V35" s="169">
        <v>2.1112524152008275E-2</v>
      </c>
      <c r="W35" s="169">
        <v>2.6009063447950006E-2</v>
      </c>
      <c r="X35" s="169">
        <v>2.677600212781742E-2</v>
      </c>
      <c r="Y35" s="169">
        <v>2.713675480742565E-2</v>
      </c>
      <c r="Z35" s="169">
        <v>2.7313306937820608E-2</v>
      </c>
      <c r="AA35" s="169">
        <v>2.7388482119498795E-2</v>
      </c>
      <c r="AB35" s="169">
        <v>2.7400058805118047E-2</v>
      </c>
      <c r="AC35" s="169">
        <v>2.7369373750143814E-2</v>
      </c>
      <c r="AD35" s="170">
        <v>2.1360145460504798E-2</v>
      </c>
      <c r="AE35" s="170">
        <v>2.7321590694262987E-2</v>
      </c>
      <c r="AF35" s="170">
        <v>2.4336531275835016E-2</v>
      </c>
    </row>
    <row r="36" spans="2:32" x14ac:dyDescent="0.3">
      <c r="B36" s="1" t="s">
        <v>49</v>
      </c>
      <c r="C36" s="1" t="s">
        <v>55</v>
      </c>
      <c r="D36" s="1" t="s">
        <v>53</v>
      </c>
      <c r="E36" s="1" t="s">
        <v>23</v>
      </c>
      <c r="F36" s="5" t="str">
        <f t="shared" si="0"/>
        <v>Rail - Regional - $500 mil-$1 bn</v>
      </c>
      <c r="G36" s="168">
        <v>3.1834646338664258E-2</v>
      </c>
      <c r="H36" s="168">
        <v>3.4734992570606894E-2</v>
      </c>
      <c r="I36" s="168">
        <v>2.8260984103065906E-2</v>
      </c>
      <c r="J36" s="168">
        <v>2.2857110864745327E-2</v>
      </c>
      <c r="K36" s="168">
        <v>4.3881107025345173E-2</v>
      </c>
      <c r="L36" s="168">
        <v>2.4156096816735365E-2</v>
      </c>
      <c r="M36" s="168">
        <v>3.125874725283919E-2</v>
      </c>
      <c r="N36" s="168">
        <v>3.2765997333100795E-2</v>
      </c>
      <c r="O36" s="168">
        <v>4.3024067969886046E-2</v>
      </c>
      <c r="P36" s="168">
        <v>2.4077802583584395E-2</v>
      </c>
      <c r="Q36" s="168">
        <v>1.7754906824548056E-2</v>
      </c>
      <c r="R36" s="168">
        <v>9.7345098222127072E-2</v>
      </c>
      <c r="S36" s="168">
        <v>5.6187463960997573E-2</v>
      </c>
      <c r="T36" s="169">
        <v>2.4818132405607155E-2</v>
      </c>
      <c r="U36" s="169">
        <v>8.2012355142168404E-3</v>
      </c>
      <c r="V36" s="169">
        <v>2.1112524152008275E-2</v>
      </c>
      <c r="W36" s="169">
        <v>2.6009063447950006E-2</v>
      </c>
      <c r="X36" s="169">
        <v>2.677600212781742E-2</v>
      </c>
      <c r="Y36" s="169">
        <v>2.713675480742565E-2</v>
      </c>
      <c r="Z36" s="169">
        <v>2.7313306937820608E-2</v>
      </c>
      <c r="AA36" s="169">
        <v>2.7388482119498795E-2</v>
      </c>
      <c r="AB36" s="169">
        <v>2.7400058805118047E-2</v>
      </c>
      <c r="AC36" s="169">
        <v>2.7369373750143814E-2</v>
      </c>
      <c r="AD36" s="170">
        <v>2.1360145460504798E-2</v>
      </c>
      <c r="AE36" s="170">
        <v>2.7321590694262987E-2</v>
      </c>
      <c r="AF36" s="170">
        <v>2.4336531275835016E-2</v>
      </c>
    </row>
    <row r="37" spans="2:32" x14ac:dyDescent="0.3">
      <c r="B37" s="1" t="s">
        <v>49</v>
      </c>
      <c r="C37" s="1" t="s">
        <v>55</v>
      </c>
      <c r="D37" s="1" t="s">
        <v>53</v>
      </c>
      <c r="E37" s="1" t="s">
        <v>52</v>
      </c>
      <c r="F37" s="5" t="str">
        <f t="shared" si="0"/>
        <v>Rail - Regional - $1 bn-$5 bn</v>
      </c>
      <c r="G37" s="168">
        <v>3.1834646338664258E-2</v>
      </c>
      <c r="H37" s="168">
        <v>3.4734992570606894E-2</v>
      </c>
      <c r="I37" s="168">
        <v>2.8260984103065906E-2</v>
      </c>
      <c r="J37" s="168">
        <v>2.2857110864745327E-2</v>
      </c>
      <c r="K37" s="168">
        <v>4.3881107025345173E-2</v>
      </c>
      <c r="L37" s="168">
        <v>2.4156096816735365E-2</v>
      </c>
      <c r="M37" s="168">
        <v>3.125874725283919E-2</v>
      </c>
      <c r="N37" s="168">
        <v>3.2765997333100795E-2</v>
      </c>
      <c r="O37" s="168">
        <v>4.3024067969886046E-2</v>
      </c>
      <c r="P37" s="168">
        <v>2.4077802583584395E-2</v>
      </c>
      <c r="Q37" s="168">
        <v>1.7754906824548056E-2</v>
      </c>
      <c r="R37" s="168">
        <v>9.7345098222127072E-2</v>
      </c>
      <c r="S37" s="168">
        <v>5.6187463960997573E-2</v>
      </c>
      <c r="T37" s="169">
        <v>2.4818132405607155E-2</v>
      </c>
      <c r="U37" s="169">
        <v>8.2012355142168404E-3</v>
      </c>
      <c r="V37" s="169">
        <v>2.1112524152008275E-2</v>
      </c>
      <c r="W37" s="169">
        <v>2.6009063447950006E-2</v>
      </c>
      <c r="X37" s="169">
        <v>2.677600212781742E-2</v>
      </c>
      <c r="Y37" s="169">
        <v>2.713675480742565E-2</v>
      </c>
      <c r="Z37" s="169">
        <v>2.7313306937820608E-2</v>
      </c>
      <c r="AA37" s="169">
        <v>2.7388482119498795E-2</v>
      </c>
      <c r="AB37" s="169">
        <v>2.7400058805118047E-2</v>
      </c>
      <c r="AC37" s="169">
        <v>2.7369373750143814E-2</v>
      </c>
      <c r="AD37" s="170">
        <v>2.1360145460504798E-2</v>
      </c>
      <c r="AE37" s="170">
        <v>2.7321590694262987E-2</v>
      </c>
      <c r="AF37" s="170">
        <v>2.4336531275835016E-2</v>
      </c>
    </row>
    <row r="38" spans="2:32" x14ac:dyDescent="0.3">
      <c r="B38" s="1" t="s">
        <v>49</v>
      </c>
      <c r="C38" s="1" t="s">
        <v>55</v>
      </c>
      <c r="D38" s="1" t="s">
        <v>53</v>
      </c>
      <c r="E38" s="1" t="s">
        <v>28</v>
      </c>
      <c r="F38" s="5" t="str">
        <f t="shared" si="0"/>
        <v>Rail - Regional - &gt;$5 bn</v>
      </c>
      <c r="G38" s="168">
        <v>3.1834646338664258E-2</v>
      </c>
      <c r="H38" s="168">
        <v>3.4734992570606894E-2</v>
      </c>
      <c r="I38" s="168">
        <v>2.8260984103065906E-2</v>
      </c>
      <c r="J38" s="168">
        <v>2.2857110864745327E-2</v>
      </c>
      <c r="K38" s="168">
        <v>4.3881107025345173E-2</v>
      </c>
      <c r="L38" s="168">
        <v>2.4156096816735365E-2</v>
      </c>
      <c r="M38" s="168">
        <v>3.125874725283919E-2</v>
      </c>
      <c r="N38" s="168">
        <v>3.2765997333100795E-2</v>
      </c>
      <c r="O38" s="168">
        <v>4.3024067969886046E-2</v>
      </c>
      <c r="P38" s="168">
        <v>2.4077802583584395E-2</v>
      </c>
      <c r="Q38" s="168">
        <v>1.7754906824548056E-2</v>
      </c>
      <c r="R38" s="168">
        <v>9.7345098222127072E-2</v>
      </c>
      <c r="S38" s="168">
        <v>5.6187463960997573E-2</v>
      </c>
      <c r="T38" s="169">
        <v>2.4818132405607155E-2</v>
      </c>
      <c r="U38" s="169">
        <v>8.2012355142168404E-3</v>
      </c>
      <c r="V38" s="169">
        <v>2.1112524152008275E-2</v>
      </c>
      <c r="W38" s="169">
        <v>2.6009063447950006E-2</v>
      </c>
      <c r="X38" s="169">
        <v>2.677600212781742E-2</v>
      </c>
      <c r="Y38" s="169">
        <v>2.713675480742565E-2</v>
      </c>
      <c r="Z38" s="169">
        <v>2.7313306937820608E-2</v>
      </c>
      <c r="AA38" s="169">
        <v>2.7388482119498795E-2</v>
      </c>
      <c r="AB38" s="169">
        <v>2.7400058805118047E-2</v>
      </c>
      <c r="AC38" s="169">
        <v>2.7369373750143814E-2</v>
      </c>
      <c r="AD38" s="170">
        <v>2.1360145460504798E-2</v>
      </c>
      <c r="AE38" s="170">
        <v>2.7321590694262987E-2</v>
      </c>
      <c r="AF38" s="170">
        <v>2.4336531275835016E-2</v>
      </c>
    </row>
    <row r="39" spans="2:32" x14ac:dyDescent="0.3">
      <c r="B39" s="1" t="s">
        <v>49</v>
      </c>
      <c r="C39" s="1" t="s">
        <v>56</v>
      </c>
      <c r="D39" s="1" t="s">
        <v>22</v>
      </c>
      <c r="E39" s="1" t="s">
        <v>50</v>
      </c>
      <c r="F39" s="5" t="str">
        <f t="shared" si="0"/>
        <v>Tunnel - Metro - &lt;$250 mil</v>
      </c>
      <c r="G39" s="168">
        <v>0</v>
      </c>
      <c r="H39" s="168">
        <v>0</v>
      </c>
      <c r="I39" s="168">
        <v>0</v>
      </c>
      <c r="J39" s="168">
        <v>0</v>
      </c>
      <c r="K39" s="168">
        <v>0</v>
      </c>
      <c r="L39" s="168">
        <v>0</v>
      </c>
      <c r="M39" s="168">
        <v>0</v>
      </c>
      <c r="N39" s="168">
        <v>0</v>
      </c>
      <c r="O39" s="168">
        <v>0</v>
      </c>
      <c r="P39" s="168">
        <v>0</v>
      </c>
      <c r="Q39" s="168">
        <v>0</v>
      </c>
      <c r="R39" s="168">
        <v>0</v>
      </c>
      <c r="S39" s="168">
        <v>0</v>
      </c>
      <c r="T39" s="169">
        <v>0</v>
      </c>
      <c r="U39" s="169">
        <v>0</v>
      </c>
      <c r="V39" s="169">
        <v>0</v>
      </c>
      <c r="W39" s="169">
        <v>0</v>
      </c>
      <c r="X39" s="169">
        <v>0</v>
      </c>
      <c r="Y39" s="169">
        <v>0</v>
      </c>
      <c r="Z39" s="169">
        <v>0</v>
      </c>
      <c r="AA39" s="169">
        <v>0</v>
      </c>
      <c r="AB39" s="169">
        <v>0</v>
      </c>
      <c r="AC39" s="169">
        <v>0</v>
      </c>
      <c r="AD39" s="170">
        <v>0</v>
      </c>
      <c r="AE39" s="170">
        <v>0</v>
      </c>
      <c r="AF39" s="170">
        <v>0</v>
      </c>
    </row>
    <row r="40" spans="2:32" x14ac:dyDescent="0.3">
      <c r="B40" s="1" t="s">
        <v>49</v>
      </c>
      <c r="C40" s="1" t="s">
        <v>56</v>
      </c>
      <c r="D40" s="1" t="s">
        <v>22</v>
      </c>
      <c r="E40" s="1" t="s">
        <v>51</v>
      </c>
      <c r="F40" s="5" t="str">
        <f t="shared" si="0"/>
        <v>Tunnel - Metro - $250 mil-$500 mil</v>
      </c>
      <c r="G40" s="168">
        <v>0</v>
      </c>
      <c r="H40" s="168">
        <v>0</v>
      </c>
      <c r="I40" s="168">
        <v>0</v>
      </c>
      <c r="J40" s="168">
        <v>0</v>
      </c>
      <c r="K40" s="168">
        <v>0</v>
      </c>
      <c r="L40" s="168">
        <v>0</v>
      </c>
      <c r="M40" s="168">
        <v>0</v>
      </c>
      <c r="N40" s="168">
        <v>0</v>
      </c>
      <c r="O40" s="168">
        <v>0</v>
      </c>
      <c r="P40" s="168">
        <v>0</v>
      </c>
      <c r="Q40" s="168">
        <v>0</v>
      </c>
      <c r="R40" s="168">
        <v>0</v>
      </c>
      <c r="S40" s="168">
        <v>0</v>
      </c>
      <c r="T40" s="169">
        <v>0</v>
      </c>
      <c r="U40" s="169">
        <v>0</v>
      </c>
      <c r="V40" s="169">
        <v>0</v>
      </c>
      <c r="W40" s="169">
        <v>0</v>
      </c>
      <c r="X40" s="169">
        <v>0</v>
      </c>
      <c r="Y40" s="169">
        <v>0</v>
      </c>
      <c r="Z40" s="169">
        <v>0</v>
      </c>
      <c r="AA40" s="169">
        <v>0</v>
      </c>
      <c r="AB40" s="169">
        <v>0</v>
      </c>
      <c r="AC40" s="169">
        <v>0</v>
      </c>
      <c r="AD40" s="170">
        <v>0</v>
      </c>
      <c r="AE40" s="170">
        <v>0</v>
      </c>
      <c r="AF40" s="170">
        <v>0</v>
      </c>
    </row>
    <row r="41" spans="2:32" x14ac:dyDescent="0.3">
      <c r="B41" s="1" t="s">
        <v>49</v>
      </c>
      <c r="C41" s="1" t="s">
        <v>56</v>
      </c>
      <c r="D41" s="1" t="s">
        <v>22</v>
      </c>
      <c r="E41" s="1" t="s">
        <v>23</v>
      </c>
      <c r="F41" s="5" t="str">
        <f t="shared" si="0"/>
        <v>Tunnel - Metro - $500 mil-$1 bn</v>
      </c>
      <c r="G41" s="168">
        <v>0</v>
      </c>
      <c r="H41" s="168">
        <v>0</v>
      </c>
      <c r="I41" s="168">
        <v>0</v>
      </c>
      <c r="J41" s="168">
        <v>0</v>
      </c>
      <c r="K41" s="168">
        <v>0</v>
      </c>
      <c r="L41" s="168">
        <v>0</v>
      </c>
      <c r="M41" s="168">
        <v>0</v>
      </c>
      <c r="N41" s="168">
        <v>0</v>
      </c>
      <c r="O41" s="168">
        <v>0</v>
      </c>
      <c r="P41" s="168">
        <v>0</v>
      </c>
      <c r="Q41" s="168">
        <v>0</v>
      </c>
      <c r="R41" s="168">
        <v>0</v>
      </c>
      <c r="S41" s="168">
        <v>0</v>
      </c>
      <c r="T41" s="169">
        <v>0</v>
      </c>
      <c r="U41" s="169">
        <v>0</v>
      </c>
      <c r="V41" s="169">
        <v>0</v>
      </c>
      <c r="W41" s="169">
        <v>0</v>
      </c>
      <c r="X41" s="169">
        <v>0</v>
      </c>
      <c r="Y41" s="169">
        <v>0</v>
      </c>
      <c r="Z41" s="169">
        <v>0</v>
      </c>
      <c r="AA41" s="169">
        <v>0</v>
      </c>
      <c r="AB41" s="169">
        <v>0</v>
      </c>
      <c r="AC41" s="169">
        <v>0</v>
      </c>
      <c r="AD41" s="170">
        <v>0</v>
      </c>
      <c r="AE41" s="170">
        <v>0</v>
      </c>
      <c r="AF41" s="170">
        <v>0</v>
      </c>
    </row>
    <row r="42" spans="2:32" x14ac:dyDescent="0.3">
      <c r="B42" s="1" t="s">
        <v>49</v>
      </c>
      <c r="C42" s="1" t="s">
        <v>56</v>
      </c>
      <c r="D42" s="1" t="s">
        <v>22</v>
      </c>
      <c r="E42" s="1" t="s">
        <v>52</v>
      </c>
      <c r="F42" s="5" t="str">
        <f t="shared" si="0"/>
        <v>Tunnel - Metro - $1 bn-$5 bn</v>
      </c>
      <c r="G42" s="168">
        <v>3.6030447117203622E-2</v>
      </c>
      <c r="H42" s="168">
        <v>3.2919966714452402E-2</v>
      </c>
      <c r="I42" s="168">
        <v>2.8715375326787584E-2</v>
      </c>
      <c r="J42" s="168">
        <v>2.3977689286689013E-2</v>
      </c>
      <c r="K42" s="168">
        <v>3.4825150509079958E-2</v>
      </c>
      <c r="L42" s="168">
        <v>1.9868140673589225E-2</v>
      </c>
      <c r="M42" s="168">
        <v>2.6440652721306874E-2</v>
      </c>
      <c r="N42" s="168">
        <v>3.3638478442328437E-2</v>
      </c>
      <c r="O42" s="168">
        <v>3.7578551366493414E-2</v>
      </c>
      <c r="P42" s="168">
        <v>2.1034734455445674E-2</v>
      </c>
      <c r="Q42" s="168">
        <v>1.9419988671308574E-2</v>
      </c>
      <c r="R42" s="168">
        <v>8.3786427542082861E-2</v>
      </c>
      <c r="S42" s="168">
        <v>5.6325160498041434E-2</v>
      </c>
      <c r="T42" s="169">
        <v>3.2220411364504896E-2</v>
      </c>
      <c r="U42" s="169">
        <v>1.237302598476215E-2</v>
      </c>
      <c r="V42" s="169">
        <v>2.0557802563571568E-2</v>
      </c>
      <c r="W42" s="169">
        <v>2.3894310661914719E-2</v>
      </c>
      <c r="X42" s="169">
        <v>2.4836540455859514E-2</v>
      </c>
      <c r="Y42" s="169">
        <v>2.5329234287543009E-2</v>
      </c>
      <c r="Z42" s="169">
        <v>2.559539114526705E-2</v>
      </c>
      <c r="AA42" s="169">
        <v>2.573247411332474E-2</v>
      </c>
      <c r="AB42" s="169">
        <v>2.5789215608832072E-2</v>
      </c>
      <c r="AC42" s="169">
        <v>2.5793127678739858E-2</v>
      </c>
      <c r="AD42" s="170">
        <v>2.2756078629060372E-2</v>
      </c>
      <c r="AE42" s="170">
        <v>2.5647873694591983E-2</v>
      </c>
      <c r="AF42" s="170">
        <v>2.4200955552236669E-2</v>
      </c>
    </row>
    <row r="43" spans="2:32" x14ac:dyDescent="0.3">
      <c r="B43" s="1" t="s">
        <v>49</v>
      </c>
      <c r="C43" s="1" t="s">
        <v>56</v>
      </c>
      <c r="D43" s="1" t="s">
        <v>22</v>
      </c>
      <c r="E43" s="1" t="s">
        <v>28</v>
      </c>
      <c r="F43" s="5" t="str">
        <f t="shared" si="0"/>
        <v>Tunnel - Metro - &gt;$5 bn</v>
      </c>
      <c r="G43" s="168">
        <v>3.6030447117203622E-2</v>
      </c>
      <c r="H43" s="168">
        <v>3.2919966714452402E-2</v>
      </c>
      <c r="I43" s="168">
        <v>2.8715375326787584E-2</v>
      </c>
      <c r="J43" s="168">
        <v>2.3977689286689013E-2</v>
      </c>
      <c r="K43" s="168">
        <v>3.4825150509079958E-2</v>
      </c>
      <c r="L43" s="168">
        <v>1.9868140673589225E-2</v>
      </c>
      <c r="M43" s="168">
        <v>2.6440652721306874E-2</v>
      </c>
      <c r="N43" s="168">
        <v>3.3638478442328437E-2</v>
      </c>
      <c r="O43" s="168">
        <v>3.7578551366493414E-2</v>
      </c>
      <c r="P43" s="168">
        <v>2.1034734455445674E-2</v>
      </c>
      <c r="Q43" s="168">
        <v>1.9419988671308574E-2</v>
      </c>
      <c r="R43" s="168">
        <v>8.3786427542082861E-2</v>
      </c>
      <c r="S43" s="168">
        <v>5.6325160498041434E-2</v>
      </c>
      <c r="T43" s="169">
        <v>3.2220411364504896E-2</v>
      </c>
      <c r="U43" s="169">
        <v>1.237302598476215E-2</v>
      </c>
      <c r="V43" s="169">
        <v>2.0557802563571568E-2</v>
      </c>
      <c r="W43" s="169">
        <v>2.3894310661914719E-2</v>
      </c>
      <c r="X43" s="169">
        <v>2.4836540455859514E-2</v>
      </c>
      <c r="Y43" s="169">
        <v>2.5329234287543009E-2</v>
      </c>
      <c r="Z43" s="169">
        <v>2.559539114526705E-2</v>
      </c>
      <c r="AA43" s="169">
        <v>2.573247411332474E-2</v>
      </c>
      <c r="AB43" s="169">
        <v>2.5789215608832072E-2</v>
      </c>
      <c r="AC43" s="169">
        <v>2.5793127678739858E-2</v>
      </c>
      <c r="AD43" s="170">
        <v>2.2756078629060372E-2</v>
      </c>
      <c r="AE43" s="170">
        <v>2.5647873694591983E-2</v>
      </c>
      <c r="AF43" s="170">
        <v>2.4200955552236669E-2</v>
      </c>
    </row>
    <row r="44" spans="2:32" x14ac:dyDescent="0.3">
      <c r="B44" s="1" t="s">
        <v>49</v>
      </c>
      <c r="C44" s="1" t="s">
        <v>56</v>
      </c>
      <c r="D44" s="1" t="s">
        <v>53</v>
      </c>
      <c r="E44" s="1" t="s">
        <v>50</v>
      </c>
      <c r="F44" s="5" t="str">
        <f t="shared" si="0"/>
        <v>Tunnel - Regional - &lt;$250 mil</v>
      </c>
      <c r="G44" s="168">
        <v>0</v>
      </c>
      <c r="H44" s="168">
        <v>0</v>
      </c>
      <c r="I44" s="168">
        <v>0</v>
      </c>
      <c r="J44" s="168">
        <v>0</v>
      </c>
      <c r="K44" s="168">
        <v>0</v>
      </c>
      <c r="L44" s="168">
        <v>0</v>
      </c>
      <c r="M44" s="168">
        <v>0</v>
      </c>
      <c r="N44" s="168">
        <v>0</v>
      </c>
      <c r="O44" s="168">
        <v>0</v>
      </c>
      <c r="P44" s="168">
        <v>0</v>
      </c>
      <c r="Q44" s="168">
        <v>0</v>
      </c>
      <c r="R44" s="168">
        <v>0</v>
      </c>
      <c r="S44" s="168">
        <v>0</v>
      </c>
      <c r="T44" s="169">
        <v>0</v>
      </c>
      <c r="U44" s="169">
        <v>0</v>
      </c>
      <c r="V44" s="169">
        <v>0</v>
      </c>
      <c r="W44" s="169">
        <v>0</v>
      </c>
      <c r="X44" s="169">
        <v>0</v>
      </c>
      <c r="Y44" s="169">
        <v>0</v>
      </c>
      <c r="Z44" s="169">
        <v>0</v>
      </c>
      <c r="AA44" s="169">
        <v>0</v>
      </c>
      <c r="AB44" s="169">
        <v>0</v>
      </c>
      <c r="AC44" s="169">
        <v>0</v>
      </c>
      <c r="AD44" s="170">
        <v>0</v>
      </c>
      <c r="AE44" s="170">
        <v>0</v>
      </c>
      <c r="AF44" s="170">
        <v>0</v>
      </c>
    </row>
    <row r="45" spans="2:32" x14ac:dyDescent="0.3">
      <c r="B45" s="1" t="s">
        <v>49</v>
      </c>
      <c r="C45" s="1" t="s">
        <v>56</v>
      </c>
      <c r="D45" s="1" t="s">
        <v>53</v>
      </c>
      <c r="E45" s="1" t="s">
        <v>51</v>
      </c>
      <c r="F45" s="5" t="str">
        <f t="shared" si="0"/>
        <v>Tunnel - Regional - $250 mil-$500 mil</v>
      </c>
      <c r="G45" s="168">
        <v>0</v>
      </c>
      <c r="H45" s="168">
        <v>0</v>
      </c>
      <c r="I45" s="168">
        <v>0</v>
      </c>
      <c r="J45" s="168">
        <v>0</v>
      </c>
      <c r="K45" s="168">
        <v>0</v>
      </c>
      <c r="L45" s="168">
        <v>0</v>
      </c>
      <c r="M45" s="168">
        <v>0</v>
      </c>
      <c r="N45" s="168">
        <v>0</v>
      </c>
      <c r="O45" s="168">
        <v>0</v>
      </c>
      <c r="P45" s="168">
        <v>0</v>
      </c>
      <c r="Q45" s="168">
        <v>0</v>
      </c>
      <c r="R45" s="168">
        <v>0</v>
      </c>
      <c r="S45" s="168">
        <v>0</v>
      </c>
      <c r="T45" s="169">
        <v>0</v>
      </c>
      <c r="U45" s="169">
        <v>0</v>
      </c>
      <c r="V45" s="169">
        <v>0</v>
      </c>
      <c r="W45" s="169">
        <v>0</v>
      </c>
      <c r="X45" s="169">
        <v>0</v>
      </c>
      <c r="Y45" s="169">
        <v>0</v>
      </c>
      <c r="Z45" s="169">
        <v>0</v>
      </c>
      <c r="AA45" s="169">
        <v>0</v>
      </c>
      <c r="AB45" s="169">
        <v>0</v>
      </c>
      <c r="AC45" s="169">
        <v>0</v>
      </c>
      <c r="AD45" s="170">
        <v>0</v>
      </c>
      <c r="AE45" s="170">
        <v>0</v>
      </c>
      <c r="AF45" s="170">
        <v>0</v>
      </c>
    </row>
    <row r="46" spans="2:32" x14ac:dyDescent="0.3">
      <c r="B46" s="1" t="s">
        <v>49</v>
      </c>
      <c r="C46" s="1" t="s">
        <v>56</v>
      </c>
      <c r="D46" s="1" t="s">
        <v>53</v>
      </c>
      <c r="E46" s="1" t="s">
        <v>23</v>
      </c>
      <c r="F46" s="5" t="str">
        <f t="shared" si="0"/>
        <v>Tunnel - Regional - $500 mil-$1 bn</v>
      </c>
      <c r="G46" s="168">
        <v>0</v>
      </c>
      <c r="H46" s="168">
        <v>0</v>
      </c>
      <c r="I46" s="168">
        <v>0</v>
      </c>
      <c r="J46" s="168">
        <v>0</v>
      </c>
      <c r="K46" s="168">
        <v>0</v>
      </c>
      <c r="L46" s="168">
        <v>0</v>
      </c>
      <c r="M46" s="168">
        <v>0</v>
      </c>
      <c r="N46" s="168">
        <v>0</v>
      </c>
      <c r="O46" s="168">
        <v>0</v>
      </c>
      <c r="P46" s="168">
        <v>0</v>
      </c>
      <c r="Q46" s="168">
        <v>0</v>
      </c>
      <c r="R46" s="168">
        <v>0</v>
      </c>
      <c r="S46" s="168">
        <v>0</v>
      </c>
      <c r="T46" s="169">
        <v>0</v>
      </c>
      <c r="U46" s="169">
        <v>0</v>
      </c>
      <c r="V46" s="169">
        <v>0</v>
      </c>
      <c r="W46" s="169">
        <v>0</v>
      </c>
      <c r="X46" s="169">
        <v>0</v>
      </c>
      <c r="Y46" s="169">
        <v>0</v>
      </c>
      <c r="Z46" s="169">
        <v>0</v>
      </c>
      <c r="AA46" s="169">
        <v>0</v>
      </c>
      <c r="AB46" s="169">
        <v>0</v>
      </c>
      <c r="AC46" s="169">
        <v>0</v>
      </c>
      <c r="AD46" s="170">
        <v>0</v>
      </c>
      <c r="AE46" s="170">
        <v>0</v>
      </c>
      <c r="AF46" s="170">
        <v>0</v>
      </c>
    </row>
    <row r="47" spans="2:32" x14ac:dyDescent="0.3">
      <c r="B47" s="1" t="s">
        <v>49</v>
      </c>
      <c r="C47" s="1" t="s">
        <v>56</v>
      </c>
      <c r="D47" s="1" t="s">
        <v>53</v>
      </c>
      <c r="E47" s="1" t="s">
        <v>52</v>
      </c>
      <c r="F47" s="5" t="str">
        <f t="shared" si="0"/>
        <v>Tunnel - Regional - $1 bn-$5 bn</v>
      </c>
      <c r="G47" s="168">
        <v>0</v>
      </c>
      <c r="H47" s="168">
        <v>0</v>
      </c>
      <c r="I47" s="168">
        <v>0</v>
      </c>
      <c r="J47" s="168">
        <v>0</v>
      </c>
      <c r="K47" s="168">
        <v>0</v>
      </c>
      <c r="L47" s="168">
        <v>0</v>
      </c>
      <c r="M47" s="168">
        <v>0</v>
      </c>
      <c r="N47" s="168">
        <v>0</v>
      </c>
      <c r="O47" s="168">
        <v>0</v>
      </c>
      <c r="P47" s="168">
        <v>0</v>
      </c>
      <c r="Q47" s="168">
        <v>0</v>
      </c>
      <c r="R47" s="168">
        <v>0</v>
      </c>
      <c r="S47" s="168">
        <v>0</v>
      </c>
      <c r="T47" s="169">
        <v>0</v>
      </c>
      <c r="U47" s="169">
        <v>0</v>
      </c>
      <c r="V47" s="169">
        <v>0</v>
      </c>
      <c r="W47" s="169">
        <v>0</v>
      </c>
      <c r="X47" s="169">
        <v>0</v>
      </c>
      <c r="Y47" s="169">
        <v>0</v>
      </c>
      <c r="Z47" s="169">
        <v>0</v>
      </c>
      <c r="AA47" s="169">
        <v>0</v>
      </c>
      <c r="AB47" s="169">
        <v>0</v>
      </c>
      <c r="AC47" s="169">
        <v>0</v>
      </c>
      <c r="AD47" s="170">
        <v>0</v>
      </c>
      <c r="AE47" s="170">
        <v>0</v>
      </c>
      <c r="AF47" s="170">
        <v>0</v>
      </c>
    </row>
    <row r="48" spans="2:32" x14ac:dyDescent="0.3">
      <c r="B48" s="1" t="s">
        <v>49</v>
      </c>
      <c r="C48" s="1" t="s">
        <v>56</v>
      </c>
      <c r="D48" s="1" t="s">
        <v>53</v>
      </c>
      <c r="E48" s="1" t="s">
        <v>28</v>
      </c>
      <c r="F48" s="5" t="str">
        <f t="shared" si="0"/>
        <v>Tunnel - Regional - &gt;$5 bn</v>
      </c>
      <c r="G48" s="168">
        <v>0</v>
      </c>
      <c r="H48" s="168">
        <v>0</v>
      </c>
      <c r="I48" s="168">
        <v>0</v>
      </c>
      <c r="J48" s="168">
        <v>0</v>
      </c>
      <c r="K48" s="168">
        <v>0</v>
      </c>
      <c r="L48" s="168">
        <v>0</v>
      </c>
      <c r="M48" s="168">
        <v>0</v>
      </c>
      <c r="N48" s="168">
        <v>0</v>
      </c>
      <c r="O48" s="168">
        <v>0</v>
      </c>
      <c r="P48" s="168">
        <v>0</v>
      </c>
      <c r="Q48" s="168">
        <v>0</v>
      </c>
      <c r="R48" s="168">
        <v>0</v>
      </c>
      <c r="S48" s="168">
        <v>0</v>
      </c>
      <c r="T48" s="169">
        <v>0</v>
      </c>
      <c r="U48" s="169">
        <v>0</v>
      </c>
      <c r="V48" s="169">
        <v>0</v>
      </c>
      <c r="W48" s="169">
        <v>0</v>
      </c>
      <c r="X48" s="169">
        <v>0</v>
      </c>
      <c r="Y48" s="169">
        <v>0</v>
      </c>
      <c r="Z48" s="169">
        <v>0</v>
      </c>
      <c r="AA48" s="169">
        <v>0</v>
      </c>
      <c r="AB48" s="169">
        <v>0</v>
      </c>
      <c r="AC48" s="169">
        <v>0</v>
      </c>
      <c r="AD48" s="170">
        <v>0</v>
      </c>
      <c r="AE48" s="170">
        <v>0</v>
      </c>
      <c r="AF48" s="170">
        <v>0</v>
      </c>
    </row>
    <row r="49" spans="2:32" x14ac:dyDescent="0.3">
      <c r="B49" s="1" t="s">
        <v>57</v>
      </c>
      <c r="C49" s="1" t="s">
        <v>58</v>
      </c>
      <c r="D49" s="1" t="s">
        <v>22</v>
      </c>
      <c r="E49" s="1" t="s">
        <v>50</v>
      </c>
      <c r="F49" s="5" t="str">
        <f t="shared" si="0"/>
        <v>Justice - Metro - &lt;$250 mil</v>
      </c>
      <c r="G49" s="168">
        <v>2.4974295838890697E-2</v>
      </c>
      <c r="H49" s="168">
        <v>2.6926336634001916E-2</v>
      </c>
      <c r="I49" s="168">
        <v>2.2470839846222893E-2</v>
      </c>
      <c r="J49" s="168">
        <v>2.6265048737585898E-2</v>
      </c>
      <c r="K49" s="168">
        <v>4.7568513907164649E-2</v>
      </c>
      <c r="L49" s="168">
        <v>1.6188294931773494E-2</v>
      </c>
      <c r="M49" s="168">
        <v>3.127737816582879E-2</v>
      </c>
      <c r="N49" s="168">
        <v>3.4792359871636376E-2</v>
      </c>
      <c r="O49" s="168">
        <v>3.5638227974499517E-2</v>
      </c>
      <c r="P49" s="168">
        <v>2.3090200048015899E-2</v>
      </c>
      <c r="Q49" s="168">
        <v>1.871191432246944E-2</v>
      </c>
      <c r="R49" s="168">
        <v>0.10786880669686824</v>
      </c>
      <c r="S49" s="168">
        <v>5.6316239858435924E-2</v>
      </c>
      <c r="T49" s="169">
        <v>1.8541783117671972E-2</v>
      </c>
      <c r="U49" s="169">
        <v>2.2392035413211675E-3</v>
      </c>
      <c r="V49" s="169">
        <v>1.4629118634051358E-2</v>
      </c>
      <c r="W49" s="169">
        <v>2.0825141485847073E-2</v>
      </c>
      <c r="X49" s="169">
        <v>2.2765134817268433E-2</v>
      </c>
      <c r="Y49" s="169">
        <v>2.3466816169931952E-2</v>
      </c>
      <c r="Z49" s="169">
        <v>2.3769502895854965E-2</v>
      </c>
      <c r="AA49" s="169">
        <v>2.3895507013810782E-2</v>
      </c>
      <c r="AB49" s="169">
        <v>2.3936338545484808E-2</v>
      </c>
      <c r="AC49" s="169">
        <v>2.393029667152647E-2</v>
      </c>
      <c r="AD49" s="170">
        <v>1.5773704750126072E-2</v>
      </c>
      <c r="AE49" s="170">
        <v>2.3799676958630389E-2</v>
      </c>
      <c r="AF49" s="170">
        <v>1.9778795026769602E-2</v>
      </c>
    </row>
    <row r="50" spans="2:32" x14ac:dyDescent="0.3">
      <c r="B50" s="1" t="s">
        <v>57</v>
      </c>
      <c r="C50" s="1" t="s">
        <v>58</v>
      </c>
      <c r="D50" s="1" t="s">
        <v>22</v>
      </c>
      <c r="E50" s="1" t="s">
        <v>51</v>
      </c>
      <c r="F50" s="5" t="str">
        <f t="shared" si="0"/>
        <v>Justice - Metro - $250 mil-$500 mil</v>
      </c>
      <c r="G50" s="168">
        <v>2.4974295838890697E-2</v>
      </c>
      <c r="H50" s="168">
        <v>2.6926336634001916E-2</v>
      </c>
      <c r="I50" s="168">
        <v>2.2470839846222893E-2</v>
      </c>
      <c r="J50" s="168">
        <v>2.6265048737585898E-2</v>
      </c>
      <c r="K50" s="168">
        <v>4.7568513907164649E-2</v>
      </c>
      <c r="L50" s="168">
        <v>1.6188294931773494E-2</v>
      </c>
      <c r="M50" s="168">
        <v>3.127737816582879E-2</v>
      </c>
      <c r="N50" s="168">
        <v>3.4792359871636376E-2</v>
      </c>
      <c r="O50" s="168">
        <v>3.5638227974499517E-2</v>
      </c>
      <c r="P50" s="168">
        <v>2.3090200048015899E-2</v>
      </c>
      <c r="Q50" s="168">
        <v>1.871191432246944E-2</v>
      </c>
      <c r="R50" s="168">
        <v>0.10786880669686824</v>
      </c>
      <c r="S50" s="168">
        <v>5.6316239858435924E-2</v>
      </c>
      <c r="T50" s="169">
        <v>1.8541783117671972E-2</v>
      </c>
      <c r="U50" s="169">
        <v>2.2392035413211675E-3</v>
      </c>
      <c r="V50" s="169">
        <v>1.4629118634051358E-2</v>
      </c>
      <c r="W50" s="169">
        <v>2.0825141485847073E-2</v>
      </c>
      <c r="X50" s="169">
        <v>2.2765134817268433E-2</v>
      </c>
      <c r="Y50" s="169">
        <v>2.3466816169931952E-2</v>
      </c>
      <c r="Z50" s="169">
        <v>2.3769502895854965E-2</v>
      </c>
      <c r="AA50" s="169">
        <v>2.3895507013810782E-2</v>
      </c>
      <c r="AB50" s="169">
        <v>2.3936338545484808E-2</v>
      </c>
      <c r="AC50" s="169">
        <v>2.393029667152647E-2</v>
      </c>
      <c r="AD50" s="170">
        <v>1.5773704750126072E-2</v>
      </c>
      <c r="AE50" s="170">
        <v>2.3799676958630389E-2</v>
      </c>
      <c r="AF50" s="170">
        <v>1.9778795026769602E-2</v>
      </c>
    </row>
    <row r="51" spans="2:32" x14ac:dyDescent="0.3">
      <c r="B51" s="1" t="s">
        <v>57</v>
      </c>
      <c r="C51" s="1" t="s">
        <v>58</v>
      </c>
      <c r="D51" s="1" t="s">
        <v>22</v>
      </c>
      <c r="E51" s="1" t="s">
        <v>23</v>
      </c>
      <c r="F51" s="5" t="str">
        <f t="shared" si="0"/>
        <v>Justice - Metro - $500 mil-$1 bn</v>
      </c>
      <c r="G51" s="168">
        <v>2.4974295838890697E-2</v>
      </c>
      <c r="H51" s="168">
        <v>2.6926336634001916E-2</v>
      </c>
      <c r="I51" s="168">
        <v>2.2470839846222893E-2</v>
      </c>
      <c r="J51" s="168">
        <v>2.6265048737585898E-2</v>
      </c>
      <c r="K51" s="168">
        <v>4.7568513907164649E-2</v>
      </c>
      <c r="L51" s="168">
        <v>1.6188294931773494E-2</v>
      </c>
      <c r="M51" s="168">
        <v>3.127737816582879E-2</v>
      </c>
      <c r="N51" s="168">
        <v>3.4792359871636376E-2</v>
      </c>
      <c r="O51" s="168">
        <v>3.5638227974499517E-2</v>
      </c>
      <c r="P51" s="168">
        <v>2.3090200048015899E-2</v>
      </c>
      <c r="Q51" s="168">
        <v>1.871191432246944E-2</v>
      </c>
      <c r="R51" s="168">
        <v>0.10786880669686824</v>
      </c>
      <c r="S51" s="168">
        <v>5.6316239858435924E-2</v>
      </c>
      <c r="T51" s="169">
        <v>1.8541783117671972E-2</v>
      </c>
      <c r="U51" s="169">
        <v>2.2392035413211675E-3</v>
      </c>
      <c r="V51" s="169">
        <v>1.4629118634051358E-2</v>
      </c>
      <c r="W51" s="169">
        <v>2.0825141485847073E-2</v>
      </c>
      <c r="X51" s="169">
        <v>2.2765134817268433E-2</v>
      </c>
      <c r="Y51" s="169">
        <v>2.3466816169931952E-2</v>
      </c>
      <c r="Z51" s="169">
        <v>2.3769502895854965E-2</v>
      </c>
      <c r="AA51" s="169">
        <v>2.3895507013810782E-2</v>
      </c>
      <c r="AB51" s="169">
        <v>2.3936338545484808E-2</v>
      </c>
      <c r="AC51" s="169">
        <v>2.393029667152647E-2</v>
      </c>
      <c r="AD51" s="170">
        <v>1.5773704750126072E-2</v>
      </c>
      <c r="AE51" s="170">
        <v>2.3799676958630389E-2</v>
      </c>
      <c r="AF51" s="170">
        <v>1.9778795026769602E-2</v>
      </c>
    </row>
    <row r="52" spans="2:32" x14ac:dyDescent="0.3">
      <c r="B52" s="1" t="s">
        <v>57</v>
      </c>
      <c r="C52" s="1" t="s">
        <v>58</v>
      </c>
      <c r="D52" s="1" t="s">
        <v>22</v>
      </c>
      <c r="E52" s="1" t="s">
        <v>52</v>
      </c>
      <c r="F52" s="5" t="str">
        <f t="shared" si="0"/>
        <v>Justice - Metro - $1 bn-$5 bn</v>
      </c>
      <c r="G52" s="168">
        <v>2.4974295838890697E-2</v>
      </c>
      <c r="H52" s="168">
        <v>2.6926336634001916E-2</v>
      </c>
      <c r="I52" s="168">
        <v>2.2470839846222893E-2</v>
      </c>
      <c r="J52" s="168">
        <v>2.6265048737585898E-2</v>
      </c>
      <c r="K52" s="168">
        <v>4.7568513907164649E-2</v>
      </c>
      <c r="L52" s="168">
        <v>1.6188294931773494E-2</v>
      </c>
      <c r="M52" s="168">
        <v>3.127737816582879E-2</v>
      </c>
      <c r="N52" s="168">
        <v>3.4792359871636376E-2</v>
      </c>
      <c r="O52" s="168">
        <v>3.5638227974499517E-2</v>
      </c>
      <c r="P52" s="168">
        <v>2.3090200048015899E-2</v>
      </c>
      <c r="Q52" s="168">
        <v>1.871191432246944E-2</v>
      </c>
      <c r="R52" s="168">
        <v>0.10786880669686824</v>
      </c>
      <c r="S52" s="168">
        <v>5.6316239858435924E-2</v>
      </c>
      <c r="T52" s="169">
        <v>1.8541783117671972E-2</v>
      </c>
      <c r="U52" s="169">
        <v>2.2392035413211675E-3</v>
      </c>
      <c r="V52" s="169">
        <v>1.4629118634051358E-2</v>
      </c>
      <c r="W52" s="169">
        <v>2.0825141485847073E-2</v>
      </c>
      <c r="X52" s="169">
        <v>2.2765134817268433E-2</v>
      </c>
      <c r="Y52" s="169">
        <v>2.3466816169931952E-2</v>
      </c>
      <c r="Z52" s="169">
        <v>2.3769502895854965E-2</v>
      </c>
      <c r="AA52" s="169">
        <v>2.3895507013810782E-2</v>
      </c>
      <c r="AB52" s="169">
        <v>2.3936338545484808E-2</v>
      </c>
      <c r="AC52" s="169">
        <v>2.393029667152647E-2</v>
      </c>
      <c r="AD52" s="170">
        <v>1.5773704750126072E-2</v>
      </c>
      <c r="AE52" s="170">
        <v>2.3799676958630389E-2</v>
      </c>
      <c r="AF52" s="170">
        <v>1.9778795026769602E-2</v>
      </c>
    </row>
    <row r="53" spans="2:32" x14ac:dyDescent="0.3">
      <c r="B53" s="1" t="s">
        <v>57</v>
      </c>
      <c r="C53" s="1" t="s">
        <v>58</v>
      </c>
      <c r="D53" s="1" t="s">
        <v>22</v>
      </c>
      <c r="E53" s="1" t="s">
        <v>28</v>
      </c>
      <c r="F53" s="5" t="str">
        <f t="shared" si="0"/>
        <v>Justice - Metro - &gt;$5 bn</v>
      </c>
      <c r="G53" s="168">
        <v>2.4974295838890697E-2</v>
      </c>
      <c r="H53" s="168">
        <v>2.6926336634001916E-2</v>
      </c>
      <c r="I53" s="168">
        <v>2.2470839846222893E-2</v>
      </c>
      <c r="J53" s="168">
        <v>2.6265048737585898E-2</v>
      </c>
      <c r="K53" s="168">
        <v>4.7568513907164649E-2</v>
      </c>
      <c r="L53" s="168">
        <v>1.6188294931773494E-2</v>
      </c>
      <c r="M53" s="168">
        <v>3.127737816582879E-2</v>
      </c>
      <c r="N53" s="168">
        <v>3.4792359871636376E-2</v>
      </c>
      <c r="O53" s="168">
        <v>3.5638227974499517E-2</v>
      </c>
      <c r="P53" s="168">
        <v>2.3090200048015899E-2</v>
      </c>
      <c r="Q53" s="168">
        <v>1.871191432246944E-2</v>
      </c>
      <c r="R53" s="168">
        <v>0.10786880669686824</v>
      </c>
      <c r="S53" s="168">
        <v>5.6316239858435924E-2</v>
      </c>
      <c r="T53" s="169">
        <v>1.8541783117671972E-2</v>
      </c>
      <c r="U53" s="169">
        <v>2.2392035413211675E-3</v>
      </c>
      <c r="V53" s="169">
        <v>1.4629118634051358E-2</v>
      </c>
      <c r="W53" s="169">
        <v>2.0825141485847073E-2</v>
      </c>
      <c r="X53" s="169">
        <v>2.2765134817268433E-2</v>
      </c>
      <c r="Y53" s="169">
        <v>2.3466816169931952E-2</v>
      </c>
      <c r="Z53" s="169">
        <v>2.3769502895854965E-2</v>
      </c>
      <c r="AA53" s="169">
        <v>2.3895507013810782E-2</v>
      </c>
      <c r="AB53" s="169">
        <v>2.3936338545484808E-2</v>
      </c>
      <c r="AC53" s="169">
        <v>2.393029667152647E-2</v>
      </c>
      <c r="AD53" s="170">
        <v>1.5773704750126072E-2</v>
      </c>
      <c r="AE53" s="170">
        <v>2.3799676958630389E-2</v>
      </c>
      <c r="AF53" s="170">
        <v>1.9778795026769602E-2</v>
      </c>
    </row>
    <row r="54" spans="2:32" x14ac:dyDescent="0.3">
      <c r="B54" s="1" t="s">
        <v>57</v>
      </c>
      <c r="C54" s="1" t="s">
        <v>58</v>
      </c>
      <c r="D54" s="1" t="s">
        <v>53</v>
      </c>
      <c r="E54" s="1" t="s">
        <v>50</v>
      </c>
      <c r="F54" s="5" t="str">
        <f t="shared" si="0"/>
        <v>Justice - Regional - &lt;$250 mil</v>
      </c>
      <c r="G54" s="168">
        <v>2.4974295838890697E-2</v>
      </c>
      <c r="H54" s="168">
        <v>2.6926336634001916E-2</v>
      </c>
      <c r="I54" s="168">
        <v>2.2470839846222893E-2</v>
      </c>
      <c r="J54" s="168">
        <v>2.6265048737585898E-2</v>
      </c>
      <c r="K54" s="168">
        <v>4.7568513907164649E-2</v>
      </c>
      <c r="L54" s="168">
        <v>1.6188294931773494E-2</v>
      </c>
      <c r="M54" s="168">
        <v>3.127737816582879E-2</v>
      </c>
      <c r="N54" s="168">
        <v>3.4792359871636376E-2</v>
      </c>
      <c r="O54" s="168">
        <v>3.5638227974499517E-2</v>
      </c>
      <c r="P54" s="168">
        <v>2.3090200048015899E-2</v>
      </c>
      <c r="Q54" s="168">
        <v>1.871191432246944E-2</v>
      </c>
      <c r="R54" s="168">
        <v>0.10786880669686824</v>
      </c>
      <c r="S54" s="168">
        <v>5.6316239858435924E-2</v>
      </c>
      <c r="T54" s="169">
        <v>1.8541783117671972E-2</v>
      </c>
      <c r="U54" s="169">
        <v>2.2392035413211675E-3</v>
      </c>
      <c r="V54" s="169">
        <v>1.4629118634051358E-2</v>
      </c>
      <c r="W54" s="169">
        <v>2.0825141485847073E-2</v>
      </c>
      <c r="X54" s="169">
        <v>2.2765134817268433E-2</v>
      </c>
      <c r="Y54" s="169">
        <v>2.3466816169931952E-2</v>
      </c>
      <c r="Z54" s="169">
        <v>2.3769502895854965E-2</v>
      </c>
      <c r="AA54" s="169">
        <v>2.3895507013810782E-2</v>
      </c>
      <c r="AB54" s="169">
        <v>2.3936338545484808E-2</v>
      </c>
      <c r="AC54" s="169">
        <v>2.393029667152647E-2</v>
      </c>
      <c r="AD54" s="170">
        <v>1.5773704750126072E-2</v>
      </c>
      <c r="AE54" s="170">
        <v>2.3799676958630389E-2</v>
      </c>
      <c r="AF54" s="170">
        <v>1.9778795026769602E-2</v>
      </c>
    </row>
    <row r="55" spans="2:32" x14ac:dyDescent="0.3">
      <c r="B55" s="1" t="s">
        <v>57</v>
      </c>
      <c r="C55" s="1" t="s">
        <v>58</v>
      </c>
      <c r="D55" s="1" t="s">
        <v>53</v>
      </c>
      <c r="E55" s="1" t="s">
        <v>51</v>
      </c>
      <c r="F55" s="5" t="str">
        <f t="shared" si="0"/>
        <v>Justice - Regional - $250 mil-$500 mil</v>
      </c>
      <c r="G55" s="168">
        <v>2.4974295838890697E-2</v>
      </c>
      <c r="H55" s="168">
        <v>2.6926336634001916E-2</v>
      </c>
      <c r="I55" s="168">
        <v>2.2470839846222893E-2</v>
      </c>
      <c r="J55" s="168">
        <v>2.6265048737585898E-2</v>
      </c>
      <c r="K55" s="168">
        <v>4.7568513907164649E-2</v>
      </c>
      <c r="L55" s="168">
        <v>1.6188294931773494E-2</v>
      </c>
      <c r="M55" s="168">
        <v>3.127737816582879E-2</v>
      </c>
      <c r="N55" s="168">
        <v>3.4792359871636376E-2</v>
      </c>
      <c r="O55" s="168">
        <v>3.5638227974499517E-2</v>
      </c>
      <c r="P55" s="168">
        <v>2.3090200048015899E-2</v>
      </c>
      <c r="Q55" s="168">
        <v>1.871191432246944E-2</v>
      </c>
      <c r="R55" s="168">
        <v>0.10786880669686824</v>
      </c>
      <c r="S55" s="168">
        <v>5.6316239858435924E-2</v>
      </c>
      <c r="T55" s="169">
        <v>1.8541783117671972E-2</v>
      </c>
      <c r="U55" s="169">
        <v>2.2392035413211675E-3</v>
      </c>
      <c r="V55" s="169">
        <v>1.4629118634051358E-2</v>
      </c>
      <c r="W55" s="169">
        <v>2.0825141485847073E-2</v>
      </c>
      <c r="X55" s="169">
        <v>2.2765134817268433E-2</v>
      </c>
      <c r="Y55" s="169">
        <v>2.3466816169931952E-2</v>
      </c>
      <c r="Z55" s="169">
        <v>2.3769502895854965E-2</v>
      </c>
      <c r="AA55" s="169">
        <v>2.3895507013810782E-2</v>
      </c>
      <c r="AB55" s="169">
        <v>2.3936338545484808E-2</v>
      </c>
      <c r="AC55" s="169">
        <v>2.393029667152647E-2</v>
      </c>
      <c r="AD55" s="170">
        <v>1.5773704750126072E-2</v>
      </c>
      <c r="AE55" s="170">
        <v>2.3799676958630389E-2</v>
      </c>
      <c r="AF55" s="170">
        <v>1.9778795026769602E-2</v>
      </c>
    </row>
    <row r="56" spans="2:32" x14ac:dyDescent="0.3">
      <c r="B56" s="1" t="s">
        <v>57</v>
      </c>
      <c r="C56" s="1" t="s">
        <v>58</v>
      </c>
      <c r="D56" s="1" t="s">
        <v>53</v>
      </c>
      <c r="E56" s="1" t="s">
        <v>23</v>
      </c>
      <c r="F56" s="5" t="str">
        <f t="shared" si="0"/>
        <v>Justice - Regional - $500 mil-$1 bn</v>
      </c>
      <c r="G56" s="168">
        <v>2.4974295838890697E-2</v>
      </c>
      <c r="H56" s="168">
        <v>2.6926336634001916E-2</v>
      </c>
      <c r="I56" s="168">
        <v>2.2470839846222893E-2</v>
      </c>
      <c r="J56" s="168">
        <v>2.6265048737585898E-2</v>
      </c>
      <c r="K56" s="168">
        <v>4.7568513907164649E-2</v>
      </c>
      <c r="L56" s="168">
        <v>1.6188294931773494E-2</v>
      </c>
      <c r="M56" s="168">
        <v>3.127737816582879E-2</v>
      </c>
      <c r="N56" s="168">
        <v>3.4792359871636376E-2</v>
      </c>
      <c r="O56" s="168">
        <v>3.5638227974499517E-2</v>
      </c>
      <c r="P56" s="168">
        <v>2.3090200048015899E-2</v>
      </c>
      <c r="Q56" s="168">
        <v>1.871191432246944E-2</v>
      </c>
      <c r="R56" s="168">
        <v>0.10786880669686824</v>
      </c>
      <c r="S56" s="168">
        <v>5.6316239858435924E-2</v>
      </c>
      <c r="T56" s="169">
        <v>1.8541783117671972E-2</v>
      </c>
      <c r="U56" s="169">
        <v>2.2392035413211675E-3</v>
      </c>
      <c r="V56" s="169">
        <v>1.4629118634051358E-2</v>
      </c>
      <c r="W56" s="169">
        <v>2.0825141485847073E-2</v>
      </c>
      <c r="X56" s="169">
        <v>2.2765134817268433E-2</v>
      </c>
      <c r="Y56" s="169">
        <v>2.3466816169931952E-2</v>
      </c>
      <c r="Z56" s="169">
        <v>2.3769502895854965E-2</v>
      </c>
      <c r="AA56" s="169">
        <v>2.3895507013810782E-2</v>
      </c>
      <c r="AB56" s="169">
        <v>2.3936338545484808E-2</v>
      </c>
      <c r="AC56" s="169">
        <v>2.393029667152647E-2</v>
      </c>
      <c r="AD56" s="170">
        <v>1.5773704750126072E-2</v>
      </c>
      <c r="AE56" s="170">
        <v>2.3799676958630389E-2</v>
      </c>
      <c r="AF56" s="170">
        <v>1.9778795026769602E-2</v>
      </c>
    </row>
    <row r="57" spans="2:32" x14ac:dyDescent="0.3">
      <c r="B57" s="1" t="s">
        <v>57</v>
      </c>
      <c r="C57" s="1" t="s">
        <v>58</v>
      </c>
      <c r="D57" s="1" t="s">
        <v>53</v>
      </c>
      <c r="E57" s="1" t="s">
        <v>52</v>
      </c>
      <c r="F57" s="5" t="str">
        <f t="shared" si="0"/>
        <v>Justice - Regional - $1 bn-$5 bn</v>
      </c>
      <c r="G57" s="168">
        <v>2.4974295838890697E-2</v>
      </c>
      <c r="H57" s="168">
        <v>2.6926336634001916E-2</v>
      </c>
      <c r="I57" s="168">
        <v>2.2470839846222893E-2</v>
      </c>
      <c r="J57" s="168">
        <v>2.6265048737585898E-2</v>
      </c>
      <c r="K57" s="168">
        <v>4.7568513907164649E-2</v>
      </c>
      <c r="L57" s="168">
        <v>1.6188294931773494E-2</v>
      </c>
      <c r="M57" s="168">
        <v>3.127737816582879E-2</v>
      </c>
      <c r="N57" s="168">
        <v>3.4792359871636376E-2</v>
      </c>
      <c r="O57" s="168">
        <v>3.5638227974499517E-2</v>
      </c>
      <c r="P57" s="168">
        <v>2.3090200048015899E-2</v>
      </c>
      <c r="Q57" s="168">
        <v>1.871191432246944E-2</v>
      </c>
      <c r="R57" s="168">
        <v>0.10786880669686824</v>
      </c>
      <c r="S57" s="168">
        <v>5.6316239858435924E-2</v>
      </c>
      <c r="T57" s="169">
        <v>1.8541783117671972E-2</v>
      </c>
      <c r="U57" s="169">
        <v>2.2392035413211675E-3</v>
      </c>
      <c r="V57" s="169">
        <v>1.4629118634051358E-2</v>
      </c>
      <c r="W57" s="169">
        <v>2.0825141485847073E-2</v>
      </c>
      <c r="X57" s="169">
        <v>2.2765134817268433E-2</v>
      </c>
      <c r="Y57" s="169">
        <v>2.3466816169931952E-2</v>
      </c>
      <c r="Z57" s="169">
        <v>2.3769502895854965E-2</v>
      </c>
      <c r="AA57" s="169">
        <v>2.3895507013810782E-2</v>
      </c>
      <c r="AB57" s="169">
        <v>2.3936338545484808E-2</v>
      </c>
      <c r="AC57" s="169">
        <v>2.393029667152647E-2</v>
      </c>
      <c r="AD57" s="170">
        <v>1.5773704750126072E-2</v>
      </c>
      <c r="AE57" s="170">
        <v>2.3799676958630389E-2</v>
      </c>
      <c r="AF57" s="170">
        <v>1.9778795026769602E-2</v>
      </c>
    </row>
    <row r="58" spans="2:32" x14ac:dyDescent="0.3">
      <c r="B58" s="1" t="s">
        <v>57</v>
      </c>
      <c r="C58" s="1" t="s">
        <v>58</v>
      </c>
      <c r="D58" s="1" t="s">
        <v>53</v>
      </c>
      <c r="E58" s="1" t="s">
        <v>28</v>
      </c>
      <c r="F58" s="5" t="str">
        <f t="shared" si="0"/>
        <v>Justice - Regional - &gt;$5 bn</v>
      </c>
      <c r="G58" s="168">
        <v>2.4974295838890697E-2</v>
      </c>
      <c r="H58" s="168">
        <v>2.6926336634001916E-2</v>
      </c>
      <c r="I58" s="168">
        <v>2.2470839846222893E-2</v>
      </c>
      <c r="J58" s="168">
        <v>2.6265048737585898E-2</v>
      </c>
      <c r="K58" s="168">
        <v>4.7568513907164649E-2</v>
      </c>
      <c r="L58" s="168">
        <v>1.6188294931773494E-2</v>
      </c>
      <c r="M58" s="168">
        <v>3.127737816582879E-2</v>
      </c>
      <c r="N58" s="168">
        <v>3.4792359871636376E-2</v>
      </c>
      <c r="O58" s="168">
        <v>3.5638227974499517E-2</v>
      </c>
      <c r="P58" s="168">
        <v>2.3090200048015899E-2</v>
      </c>
      <c r="Q58" s="168">
        <v>1.871191432246944E-2</v>
      </c>
      <c r="R58" s="168">
        <v>0.10786880669686824</v>
      </c>
      <c r="S58" s="168">
        <v>5.6316239858435924E-2</v>
      </c>
      <c r="T58" s="169">
        <v>1.8541783117671972E-2</v>
      </c>
      <c r="U58" s="169">
        <v>2.2392035413211675E-3</v>
      </c>
      <c r="V58" s="169">
        <v>1.4629118634051358E-2</v>
      </c>
      <c r="W58" s="169">
        <v>2.0825141485847073E-2</v>
      </c>
      <c r="X58" s="169">
        <v>2.2765134817268433E-2</v>
      </c>
      <c r="Y58" s="169">
        <v>2.3466816169931952E-2</v>
      </c>
      <c r="Z58" s="169">
        <v>2.3769502895854965E-2</v>
      </c>
      <c r="AA58" s="169">
        <v>2.3895507013810782E-2</v>
      </c>
      <c r="AB58" s="169">
        <v>2.3936338545484808E-2</v>
      </c>
      <c r="AC58" s="169">
        <v>2.393029667152647E-2</v>
      </c>
      <c r="AD58" s="170">
        <v>1.5773704750126072E-2</v>
      </c>
      <c r="AE58" s="170">
        <v>2.3799676958630389E-2</v>
      </c>
      <c r="AF58" s="170">
        <v>1.9778795026769602E-2</v>
      </c>
    </row>
    <row r="59" spans="2:32" x14ac:dyDescent="0.3">
      <c r="B59" s="1" t="s">
        <v>57</v>
      </c>
      <c r="C59" s="1" t="s">
        <v>59</v>
      </c>
      <c r="D59" s="1" t="s">
        <v>22</v>
      </c>
      <c r="E59" s="1" t="s">
        <v>50</v>
      </c>
      <c r="F59" s="5" t="str">
        <f t="shared" si="0"/>
        <v>Culture, sport &amp; community - Metro - &lt;$250 mil</v>
      </c>
      <c r="G59" s="168">
        <v>3.0668653215021352E-2</v>
      </c>
      <c r="H59" s="168">
        <v>2.7921286578732812E-2</v>
      </c>
      <c r="I59" s="168">
        <v>2.6099965465702479E-2</v>
      </c>
      <c r="J59" s="168">
        <v>2.8418920796885537E-2</v>
      </c>
      <c r="K59" s="168">
        <v>3.8309407030701355E-2</v>
      </c>
      <c r="L59" s="168">
        <v>2.0339266785537078E-2</v>
      </c>
      <c r="M59" s="168">
        <v>2.9082898628341101E-2</v>
      </c>
      <c r="N59" s="168">
        <v>3.7816926516755119E-2</v>
      </c>
      <c r="O59" s="168">
        <v>3.2427442600355356E-2</v>
      </c>
      <c r="P59" s="168">
        <v>2.0490867242752616E-2</v>
      </c>
      <c r="Q59" s="168">
        <v>2.3166425596199011E-2</v>
      </c>
      <c r="R59" s="168">
        <v>8.7818821476923103E-2</v>
      </c>
      <c r="S59" s="168">
        <v>5.4307856868232945E-2</v>
      </c>
      <c r="T59" s="169">
        <v>2.6279154499407861E-2</v>
      </c>
      <c r="U59" s="169">
        <v>1.1028211572861928E-2</v>
      </c>
      <c r="V59" s="169">
        <v>1.9237218586938665E-2</v>
      </c>
      <c r="W59" s="169">
        <v>2.3156140745067035E-2</v>
      </c>
      <c r="X59" s="169">
        <v>2.425802434408723E-2</v>
      </c>
      <c r="Y59" s="169">
        <v>2.4856954048536092E-2</v>
      </c>
      <c r="Z59" s="169">
        <v>2.5183605706688997E-2</v>
      </c>
      <c r="AA59" s="169">
        <v>2.5307469887473059E-2</v>
      </c>
      <c r="AB59" s="169">
        <v>2.5347770513197917E-2</v>
      </c>
      <c r="AC59" s="169">
        <v>2.5357333600866849E-2</v>
      </c>
      <c r="AD59" s="170">
        <v>2.0777454114420113E-2</v>
      </c>
      <c r="AE59" s="170">
        <v>2.5210609628150582E-2</v>
      </c>
      <c r="AF59" s="170">
        <v>2.2991630477647629E-2</v>
      </c>
    </row>
    <row r="60" spans="2:32" x14ac:dyDescent="0.3">
      <c r="B60" s="1" t="s">
        <v>57</v>
      </c>
      <c r="C60" s="1" t="s">
        <v>59</v>
      </c>
      <c r="D60" s="1" t="s">
        <v>22</v>
      </c>
      <c r="E60" s="1" t="s">
        <v>51</v>
      </c>
      <c r="F60" s="5" t="str">
        <f t="shared" si="0"/>
        <v>Culture, sport &amp; community - Metro - $250 mil-$500 mil</v>
      </c>
      <c r="G60" s="168">
        <v>3.0668653215021352E-2</v>
      </c>
      <c r="H60" s="168">
        <v>2.7921286578732812E-2</v>
      </c>
      <c r="I60" s="168">
        <v>2.6099965465702479E-2</v>
      </c>
      <c r="J60" s="168">
        <v>2.8418920796885537E-2</v>
      </c>
      <c r="K60" s="168">
        <v>3.8309407030701355E-2</v>
      </c>
      <c r="L60" s="168">
        <v>2.0339266785537078E-2</v>
      </c>
      <c r="M60" s="168">
        <v>2.9082898628341101E-2</v>
      </c>
      <c r="N60" s="168">
        <v>3.7816926516755119E-2</v>
      </c>
      <c r="O60" s="168">
        <v>3.2427442600355356E-2</v>
      </c>
      <c r="P60" s="168">
        <v>2.0490867242752616E-2</v>
      </c>
      <c r="Q60" s="168">
        <v>2.3166425596199011E-2</v>
      </c>
      <c r="R60" s="168">
        <v>8.7818821476923103E-2</v>
      </c>
      <c r="S60" s="168">
        <v>5.4307856868232945E-2</v>
      </c>
      <c r="T60" s="169">
        <v>2.6279154499407861E-2</v>
      </c>
      <c r="U60" s="169">
        <v>1.1028211572861928E-2</v>
      </c>
      <c r="V60" s="169">
        <v>1.9237218586938665E-2</v>
      </c>
      <c r="W60" s="169">
        <v>2.3156140745067035E-2</v>
      </c>
      <c r="X60" s="169">
        <v>2.425802434408723E-2</v>
      </c>
      <c r="Y60" s="169">
        <v>2.4856954048536092E-2</v>
      </c>
      <c r="Z60" s="169">
        <v>2.5183605706688997E-2</v>
      </c>
      <c r="AA60" s="169">
        <v>2.5307469887473059E-2</v>
      </c>
      <c r="AB60" s="169">
        <v>2.5347770513197917E-2</v>
      </c>
      <c r="AC60" s="169">
        <v>2.5357333600866849E-2</v>
      </c>
      <c r="AD60" s="170">
        <v>2.0777454114420113E-2</v>
      </c>
      <c r="AE60" s="170">
        <v>2.5210609628150582E-2</v>
      </c>
      <c r="AF60" s="170">
        <v>2.2991630477647629E-2</v>
      </c>
    </row>
    <row r="61" spans="2:32" x14ac:dyDescent="0.3">
      <c r="B61" s="1" t="s">
        <v>57</v>
      </c>
      <c r="C61" s="1" t="s">
        <v>59</v>
      </c>
      <c r="D61" s="1" t="s">
        <v>22</v>
      </c>
      <c r="E61" s="1" t="s">
        <v>23</v>
      </c>
      <c r="F61" s="5" t="str">
        <f t="shared" si="0"/>
        <v>Culture, sport &amp; community - Metro - $500 mil-$1 bn</v>
      </c>
      <c r="G61" s="168">
        <v>3.0668653215021352E-2</v>
      </c>
      <c r="H61" s="168">
        <v>2.7921286578732812E-2</v>
      </c>
      <c r="I61" s="168">
        <v>2.6099965465702479E-2</v>
      </c>
      <c r="J61" s="168">
        <v>2.8418920796885537E-2</v>
      </c>
      <c r="K61" s="168">
        <v>3.8309407030701355E-2</v>
      </c>
      <c r="L61" s="168">
        <v>2.0339266785537078E-2</v>
      </c>
      <c r="M61" s="168">
        <v>2.9082898628341101E-2</v>
      </c>
      <c r="N61" s="168">
        <v>3.7816926516755119E-2</v>
      </c>
      <c r="O61" s="168">
        <v>3.2427442600355356E-2</v>
      </c>
      <c r="P61" s="168">
        <v>2.0490867242752616E-2</v>
      </c>
      <c r="Q61" s="168">
        <v>2.3166425596199011E-2</v>
      </c>
      <c r="R61" s="168">
        <v>8.7818821476923103E-2</v>
      </c>
      <c r="S61" s="168">
        <v>5.4307856868232945E-2</v>
      </c>
      <c r="T61" s="169">
        <v>2.6279154499407861E-2</v>
      </c>
      <c r="U61" s="169">
        <v>1.1028211572861928E-2</v>
      </c>
      <c r="V61" s="169">
        <v>1.9237218586938665E-2</v>
      </c>
      <c r="W61" s="169">
        <v>2.3156140745067035E-2</v>
      </c>
      <c r="X61" s="169">
        <v>2.425802434408723E-2</v>
      </c>
      <c r="Y61" s="169">
        <v>2.4856954048536092E-2</v>
      </c>
      <c r="Z61" s="169">
        <v>2.5183605706688997E-2</v>
      </c>
      <c r="AA61" s="169">
        <v>2.5307469887473059E-2</v>
      </c>
      <c r="AB61" s="169">
        <v>2.5347770513197917E-2</v>
      </c>
      <c r="AC61" s="169">
        <v>2.5357333600866849E-2</v>
      </c>
      <c r="AD61" s="170">
        <v>2.0777454114420113E-2</v>
      </c>
      <c r="AE61" s="170">
        <v>2.5210609628150582E-2</v>
      </c>
      <c r="AF61" s="170">
        <v>2.2991630477647629E-2</v>
      </c>
    </row>
    <row r="62" spans="2:32" x14ac:dyDescent="0.3">
      <c r="B62" s="1" t="s">
        <v>57</v>
      </c>
      <c r="C62" s="1" t="s">
        <v>59</v>
      </c>
      <c r="D62" s="1" t="s">
        <v>22</v>
      </c>
      <c r="E62" s="1" t="s">
        <v>52</v>
      </c>
      <c r="F62" s="5" t="str">
        <f t="shared" si="0"/>
        <v>Culture, sport &amp; community - Metro - $1 bn-$5 bn</v>
      </c>
      <c r="G62" s="168">
        <v>3.0668653215021352E-2</v>
      </c>
      <c r="H62" s="168">
        <v>2.7921286578732812E-2</v>
      </c>
      <c r="I62" s="168">
        <v>2.6099965465702479E-2</v>
      </c>
      <c r="J62" s="168">
        <v>2.8418920796885537E-2</v>
      </c>
      <c r="K62" s="168">
        <v>3.8309407030701355E-2</v>
      </c>
      <c r="L62" s="168">
        <v>2.0339266785537078E-2</v>
      </c>
      <c r="M62" s="168">
        <v>2.9082898628341101E-2</v>
      </c>
      <c r="N62" s="168">
        <v>3.7816926516755119E-2</v>
      </c>
      <c r="O62" s="168">
        <v>3.2427442600355356E-2</v>
      </c>
      <c r="P62" s="168">
        <v>2.0490867242752616E-2</v>
      </c>
      <c r="Q62" s="168">
        <v>2.3166425596199011E-2</v>
      </c>
      <c r="R62" s="168">
        <v>8.7818821476923103E-2</v>
      </c>
      <c r="S62" s="168">
        <v>5.4307856868232945E-2</v>
      </c>
      <c r="T62" s="169">
        <v>2.6279154499407861E-2</v>
      </c>
      <c r="U62" s="169">
        <v>1.1028211572861928E-2</v>
      </c>
      <c r="V62" s="169">
        <v>1.9237218586938665E-2</v>
      </c>
      <c r="W62" s="169">
        <v>2.3156140745067035E-2</v>
      </c>
      <c r="X62" s="169">
        <v>2.425802434408723E-2</v>
      </c>
      <c r="Y62" s="169">
        <v>2.4856954048536092E-2</v>
      </c>
      <c r="Z62" s="169">
        <v>2.5183605706688997E-2</v>
      </c>
      <c r="AA62" s="169">
        <v>2.5307469887473059E-2</v>
      </c>
      <c r="AB62" s="169">
        <v>2.5347770513197917E-2</v>
      </c>
      <c r="AC62" s="169">
        <v>2.5357333600866849E-2</v>
      </c>
      <c r="AD62" s="170">
        <v>2.0777454114420113E-2</v>
      </c>
      <c r="AE62" s="170">
        <v>2.5210609628150582E-2</v>
      </c>
      <c r="AF62" s="170">
        <v>2.2991630477647629E-2</v>
      </c>
    </row>
    <row r="63" spans="2:32" x14ac:dyDescent="0.3">
      <c r="B63" s="1" t="s">
        <v>57</v>
      </c>
      <c r="C63" s="1" t="s">
        <v>59</v>
      </c>
      <c r="D63" s="1" t="s">
        <v>22</v>
      </c>
      <c r="E63" s="1" t="s">
        <v>28</v>
      </c>
      <c r="F63" s="5" t="str">
        <f t="shared" si="0"/>
        <v>Culture, sport &amp; community - Metro - &gt;$5 bn</v>
      </c>
      <c r="G63" s="168">
        <v>3.0668653215021352E-2</v>
      </c>
      <c r="H63" s="168">
        <v>2.7921286578732812E-2</v>
      </c>
      <c r="I63" s="168">
        <v>2.6099965465702479E-2</v>
      </c>
      <c r="J63" s="168">
        <v>2.8418920796885537E-2</v>
      </c>
      <c r="K63" s="168">
        <v>3.8309407030701355E-2</v>
      </c>
      <c r="L63" s="168">
        <v>2.0339266785537078E-2</v>
      </c>
      <c r="M63" s="168">
        <v>2.9082898628341101E-2</v>
      </c>
      <c r="N63" s="168">
        <v>3.7816926516755119E-2</v>
      </c>
      <c r="O63" s="168">
        <v>3.2427442600355356E-2</v>
      </c>
      <c r="P63" s="168">
        <v>2.0490867242752616E-2</v>
      </c>
      <c r="Q63" s="168">
        <v>2.3166425596199011E-2</v>
      </c>
      <c r="R63" s="168">
        <v>8.7818821476923103E-2</v>
      </c>
      <c r="S63" s="168">
        <v>5.4307856868232945E-2</v>
      </c>
      <c r="T63" s="169">
        <v>2.6279154499407861E-2</v>
      </c>
      <c r="U63" s="169">
        <v>1.1028211572861928E-2</v>
      </c>
      <c r="V63" s="169">
        <v>1.9237218586938665E-2</v>
      </c>
      <c r="W63" s="169">
        <v>2.3156140745067035E-2</v>
      </c>
      <c r="X63" s="169">
        <v>2.425802434408723E-2</v>
      </c>
      <c r="Y63" s="169">
        <v>2.4856954048536092E-2</v>
      </c>
      <c r="Z63" s="169">
        <v>2.5183605706688997E-2</v>
      </c>
      <c r="AA63" s="169">
        <v>2.5307469887473059E-2</v>
      </c>
      <c r="AB63" s="169">
        <v>2.5347770513197917E-2</v>
      </c>
      <c r="AC63" s="169">
        <v>2.5357333600866849E-2</v>
      </c>
      <c r="AD63" s="170">
        <v>2.0777454114420113E-2</v>
      </c>
      <c r="AE63" s="170">
        <v>2.5210609628150582E-2</v>
      </c>
      <c r="AF63" s="170">
        <v>2.2991630477647629E-2</v>
      </c>
    </row>
    <row r="64" spans="2:32" x14ac:dyDescent="0.3">
      <c r="B64" s="1" t="s">
        <v>57</v>
      </c>
      <c r="C64" s="1" t="s">
        <v>59</v>
      </c>
      <c r="D64" s="1" t="s">
        <v>53</v>
      </c>
      <c r="E64" s="1" t="s">
        <v>50</v>
      </c>
      <c r="F64" s="5" t="str">
        <f t="shared" si="0"/>
        <v>Culture, sport &amp; community - Regional - &lt;$250 mil</v>
      </c>
      <c r="G64" s="168">
        <v>3.0668653215021352E-2</v>
      </c>
      <c r="H64" s="168">
        <v>2.7921286578732812E-2</v>
      </c>
      <c r="I64" s="168">
        <v>2.6099965465702479E-2</v>
      </c>
      <c r="J64" s="168">
        <v>2.8418920796885537E-2</v>
      </c>
      <c r="K64" s="168">
        <v>3.8309407030701355E-2</v>
      </c>
      <c r="L64" s="168">
        <v>2.0339266785537078E-2</v>
      </c>
      <c r="M64" s="168">
        <v>2.9082898628341101E-2</v>
      </c>
      <c r="N64" s="168">
        <v>3.7816926516755119E-2</v>
      </c>
      <c r="O64" s="168">
        <v>3.2427442600355356E-2</v>
      </c>
      <c r="P64" s="168">
        <v>2.0490867242752616E-2</v>
      </c>
      <c r="Q64" s="168">
        <v>2.3166425596199011E-2</v>
      </c>
      <c r="R64" s="168">
        <v>8.7818821476923103E-2</v>
      </c>
      <c r="S64" s="168">
        <v>5.4307856868232945E-2</v>
      </c>
      <c r="T64" s="169">
        <v>2.6279154499407861E-2</v>
      </c>
      <c r="U64" s="169">
        <v>1.1028211572861928E-2</v>
      </c>
      <c r="V64" s="169">
        <v>1.9237218586938665E-2</v>
      </c>
      <c r="W64" s="169">
        <v>2.3156140745067035E-2</v>
      </c>
      <c r="X64" s="169">
        <v>2.425802434408723E-2</v>
      </c>
      <c r="Y64" s="169">
        <v>2.4856954048536092E-2</v>
      </c>
      <c r="Z64" s="169">
        <v>2.5183605706688997E-2</v>
      </c>
      <c r="AA64" s="169">
        <v>2.5307469887473059E-2</v>
      </c>
      <c r="AB64" s="169">
        <v>2.5347770513197917E-2</v>
      </c>
      <c r="AC64" s="169">
        <v>2.5357333600866849E-2</v>
      </c>
      <c r="AD64" s="170">
        <v>2.0777454114420113E-2</v>
      </c>
      <c r="AE64" s="170">
        <v>2.5210609628150582E-2</v>
      </c>
      <c r="AF64" s="170">
        <v>2.2991630477647629E-2</v>
      </c>
    </row>
    <row r="65" spans="2:32" x14ac:dyDescent="0.3">
      <c r="B65" s="1" t="s">
        <v>57</v>
      </c>
      <c r="C65" s="1" t="s">
        <v>59</v>
      </c>
      <c r="D65" s="1" t="s">
        <v>53</v>
      </c>
      <c r="E65" s="1" t="s">
        <v>51</v>
      </c>
      <c r="F65" s="5" t="str">
        <f t="shared" si="0"/>
        <v>Culture, sport &amp; community - Regional - $250 mil-$500 mil</v>
      </c>
      <c r="G65" s="168">
        <v>3.0668653215021352E-2</v>
      </c>
      <c r="H65" s="168">
        <v>2.7921286578732812E-2</v>
      </c>
      <c r="I65" s="168">
        <v>2.6099965465702479E-2</v>
      </c>
      <c r="J65" s="168">
        <v>2.8418920796885537E-2</v>
      </c>
      <c r="K65" s="168">
        <v>3.8309407030701355E-2</v>
      </c>
      <c r="L65" s="168">
        <v>2.0339266785537078E-2</v>
      </c>
      <c r="M65" s="168">
        <v>2.9082898628341101E-2</v>
      </c>
      <c r="N65" s="168">
        <v>3.7816926516755119E-2</v>
      </c>
      <c r="O65" s="168">
        <v>3.2427442600355356E-2</v>
      </c>
      <c r="P65" s="168">
        <v>2.0490867242752616E-2</v>
      </c>
      <c r="Q65" s="168">
        <v>2.3166425596199011E-2</v>
      </c>
      <c r="R65" s="168">
        <v>8.7818821476923103E-2</v>
      </c>
      <c r="S65" s="168">
        <v>5.4307856868232945E-2</v>
      </c>
      <c r="T65" s="169">
        <v>2.6279154499407861E-2</v>
      </c>
      <c r="U65" s="169">
        <v>1.1028211572861928E-2</v>
      </c>
      <c r="V65" s="169">
        <v>1.9237218586938665E-2</v>
      </c>
      <c r="W65" s="169">
        <v>2.3156140745067035E-2</v>
      </c>
      <c r="X65" s="169">
        <v>2.425802434408723E-2</v>
      </c>
      <c r="Y65" s="169">
        <v>2.4856954048536092E-2</v>
      </c>
      <c r="Z65" s="169">
        <v>2.5183605706688997E-2</v>
      </c>
      <c r="AA65" s="169">
        <v>2.5307469887473059E-2</v>
      </c>
      <c r="AB65" s="169">
        <v>2.5347770513197917E-2</v>
      </c>
      <c r="AC65" s="169">
        <v>2.5357333600866849E-2</v>
      </c>
      <c r="AD65" s="170">
        <v>2.0777454114420113E-2</v>
      </c>
      <c r="AE65" s="170">
        <v>2.5210609628150582E-2</v>
      </c>
      <c r="AF65" s="170">
        <v>2.2991630477647629E-2</v>
      </c>
    </row>
    <row r="66" spans="2:32" x14ac:dyDescent="0.3">
      <c r="B66" s="1" t="s">
        <v>57</v>
      </c>
      <c r="C66" s="1" t="s">
        <v>59</v>
      </c>
      <c r="D66" s="1" t="s">
        <v>53</v>
      </c>
      <c r="E66" s="1" t="s">
        <v>23</v>
      </c>
      <c r="F66" s="5" t="str">
        <f t="shared" si="0"/>
        <v>Culture, sport &amp; community - Regional - $500 mil-$1 bn</v>
      </c>
      <c r="G66" s="168">
        <v>3.0668653215021352E-2</v>
      </c>
      <c r="H66" s="168">
        <v>2.7921286578732812E-2</v>
      </c>
      <c r="I66" s="168">
        <v>2.6099965465702479E-2</v>
      </c>
      <c r="J66" s="168">
        <v>2.8418920796885537E-2</v>
      </c>
      <c r="K66" s="168">
        <v>3.8309407030701355E-2</v>
      </c>
      <c r="L66" s="168">
        <v>2.0339266785537078E-2</v>
      </c>
      <c r="M66" s="168">
        <v>2.9082898628341101E-2</v>
      </c>
      <c r="N66" s="168">
        <v>3.7816926516755119E-2</v>
      </c>
      <c r="O66" s="168">
        <v>3.2427442600355356E-2</v>
      </c>
      <c r="P66" s="168">
        <v>2.0490867242752616E-2</v>
      </c>
      <c r="Q66" s="168">
        <v>2.3166425596199011E-2</v>
      </c>
      <c r="R66" s="168">
        <v>8.7818821476923103E-2</v>
      </c>
      <c r="S66" s="168">
        <v>5.4307856868232945E-2</v>
      </c>
      <c r="T66" s="169">
        <v>2.6279154499407861E-2</v>
      </c>
      <c r="U66" s="169">
        <v>1.1028211572861928E-2</v>
      </c>
      <c r="V66" s="169">
        <v>1.9237218586938665E-2</v>
      </c>
      <c r="W66" s="169">
        <v>2.3156140745067035E-2</v>
      </c>
      <c r="X66" s="169">
        <v>2.425802434408723E-2</v>
      </c>
      <c r="Y66" s="169">
        <v>2.4856954048536092E-2</v>
      </c>
      <c r="Z66" s="169">
        <v>2.5183605706688997E-2</v>
      </c>
      <c r="AA66" s="169">
        <v>2.5307469887473059E-2</v>
      </c>
      <c r="AB66" s="169">
        <v>2.5347770513197917E-2</v>
      </c>
      <c r="AC66" s="169">
        <v>2.5357333600866849E-2</v>
      </c>
      <c r="AD66" s="170">
        <v>2.0777454114420113E-2</v>
      </c>
      <c r="AE66" s="170">
        <v>2.5210609628150582E-2</v>
      </c>
      <c r="AF66" s="170">
        <v>2.2991630477647629E-2</v>
      </c>
    </row>
    <row r="67" spans="2:32" x14ac:dyDescent="0.3">
      <c r="B67" s="1" t="s">
        <v>57</v>
      </c>
      <c r="C67" s="1" t="s">
        <v>59</v>
      </c>
      <c r="D67" s="1" t="s">
        <v>53</v>
      </c>
      <c r="E67" s="1" t="s">
        <v>52</v>
      </c>
      <c r="F67" s="5" t="str">
        <f t="shared" si="0"/>
        <v>Culture, sport &amp; community - Regional - $1 bn-$5 bn</v>
      </c>
      <c r="G67" s="168">
        <v>3.0668653215021352E-2</v>
      </c>
      <c r="H67" s="168">
        <v>2.7921286578732812E-2</v>
      </c>
      <c r="I67" s="168">
        <v>2.6099965465702479E-2</v>
      </c>
      <c r="J67" s="168">
        <v>2.8418920796885537E-2</v>
      </c>
      <c r="K67" s="168">
        <v>3.8309407030701355E-2</v>
      </c>
      <c r="L67" s="168">
        <v>2.0339266785537078E-2</v>
      </c>
      <c r="M67" s="168">
        <v>2.9082898628341101E-2</v>
      </c>
      <c r="N67" s="168">
        <v>3.7816926516755119E-2</v>
      </c>
      <c r="O67" s="168">
        <v>3.2427442600355356E-2</v>
      </c>
      <c r="P67" s="168">
        <v>2.0490867242752616E-2</v>
      </c>
      <c r="Q67" s="168">
        <v>2.3166425596199011E-2</v>
      </c>
      <c r="R67" s="168">
        <v>8.7818821476923103E-2</v>
      </c>
      <c r="S67" s="168">
        <v>5.4307856868232945E-2</v>
      </c>
      <c r="T67" s="169">
        <v>2.6279154499407861E-2</v>
      </c>
      <c r="U67" s="169">
        <v>1.1028211572861928E-2</v>
      </c>
      <c r="V67" s="169">
        <v>1.9237218586938665E-2</v>
      </c>
      <c r="W67" s="169">
        <v>2.3156140745067035E-2</v>
      </c>
      <c r="X67" s="169">
        <v>2.425802434408723E-2</v>
      </c>
      <c r="Y67" s="169">
        <v>2.4856954048536092E-2</v>
      </c>
      <c r="Z67" s="169">
        <v>2.5183605706688997E-2</v>
      </c>
      <c r="AA67" s="169">
        <v>2.5307469887473059E-2</v>
      </c>
      <c r="AB67" s="169">
        <v>2.5347770513197917E-2</v>
      </c>
      <c r="AC67" s="169">
        <v>2.5357333600866849E-2</v>
      </c>
      <c r="AD67" s="170">
        <v>2.0777454114420113E-2</v>
      </c>
      <c r="AE67" s="170">
        <v>2.5210609628150582E-2</v>
      </c>
      <c r="AF67" s="170">
        <v>2.2991630477647629E-2</v>
      </c>
    </row>
    <row r="68" spans="2:32" x14ac:dyDescent="0.3">
      <c r="B68" s="1" t="s">
        <v>57</v>
      </c>
      <c r="C68" s="1" t="s">
        <v>59</v>
      </c>
      <c r="D68" s="1" t="s">
        <v>53</v>
      </c>
      <c r="E68" s="1" t="s">
        <v>28</v>
      </c>
      <c r="F68" s="5" t="str">
        <f t="shared" si="0"/>
        <v>Culture, sport &amp; community - Regional - &gt;$5 bn</v>
      </c>
      <c r="G68" s="168">
        <v>3.0668653215021352E-2</v>
      </c>
      <c r="H68" s="168">
        <v>2.7921286578732812E-2</v>
      </c>
      <c r="I68" s="168">
        <v>2.6099965465702479E-2</v>
      </c>
      <c r="J68" s="168">
        <v>2.8418920796885537E-2</v>
      </c>
      <c r="K68" s="168">
        <v>3.8309407030701355E-2</v>
      </c>
      <c r="L68" s="168">
        <v>2.0339266785537078E-2</v>
      </c>
      <c r="M68" s="168">
        <v>2.9082898628341101E-2</v>
      </c>
      <c r="N68" s="168">
        <v>3.7816926516755119E-2</v>
      </c>
      <c r="O68" s="168">
        <v>3.2427442600355356E-2</v>
      </c>
      <c r="P68" s="168">
        <v>2.0490867242752616E-2</v>
      </c>
      <c r="Q68" s="168">
        <v>2.3166425596199011E-2</v>
      </c>
      <c r="R68" s="168">
        <v>8.7818821476923103E-2</v>
      </c>
      <c r="S68" s="168">
        <v>5.4307856868232945E-2</v>
      </c>
      <c r="T68" s="169">
        <v>2.6279154499407861E-2</v>
      </c>
      <c r="U68" s="169">
        <v>1.1028211572861928E-2</v>
      </c>
      <c r="V68" s="169">
        <v>1.9237218586938665E-2</v>
      </c>
      <c r="W68" s="169">
        <v>2.3156140745067035E-2</v>
      </c>
      <c r="X68" s="169">
        <v>2.425802434408723E-2</v>
      </c>
      <c r="Y68" s="169">
        <v>2.4856954048536092E-2</v>
      </c>
      <c r="Z68" s="169">
        <v>2.5183605706688997E-2</v>
      </c>
      <c r="AA68" s="169">
        <v>2.5307469887473059E-2</v>
      </c>
      <c r="AB68" s="169">
        <v>2.5347770513197917E-2</v>
      </c>
      <c r="AC68" s="169">
        <v>2.5357333600866849E-2</v>
      </c>
      <c r="AD68" s="170">
        <v>2.0777454114420113E-2</v>
      </c>
      <c r="AE68" s="170">
        <v>2.5210609628150582E-2</v>
      </c>
      <c r="AF68" s="170">
        <v>2.2991630477647629E-2</v>
      </c>
    </row>
    <row r="69" spans="2:32" x14ac:dyDescent="0.3">
      <c r="B69" s="1" t="s">
        <v>57</v>
      </c>
      <c r="C69" s="1" t="s">
        <v>60</v>
      </c>
      <c r="D69" s="1" t="s">
        <v>22</v>
      </c>
      <c r="E69" s="1" t="s">
        <v>50</v>
      </c>
      <c r="F69" s="5" t="str">
        <f t="shared" si="0"/>
        <v>Social housing - Metro - &lt;$250 mil</v>
      </c>
      <c r="G69" s="168">
        <v>2.5267075208362289E-2</v>
      </c>
      <c r="H69" s="168">
        <v>2.577908478354269E-2</v>
      </c>
      <c r="I69" s="168">
        <v>2.4103625316370541E-2</v>
      </c>
      <c r="J69" s="168">
        <v>2.4424759503902486E-2</v>
      </c>
      <c r="K69" s="168">
        <v>4.6145753631793442E-2</v>
      </c>
      <c r="L69" s="168">
        <v>2.1794768917469679E-2</v>
      </c>
      <c r="M69" s="168">
        <v>3.1992459215579493E-2</v>
      </c>
      <c r="N69" s="168">
        <v>3.4863472442244269E-2</v>
      </c>
      <c r="O69" s="168">
        <v>3.3436911805832387E-2</v>
      </c>
      <c r="P69" s="168">
        <v>1.9330634587715122E-2</v>
      </c>
      <c r="Q69" s="168">
        <v>1.9979677602588869E-2</v>
      </c>
      <c r="R69" s="168">
        <v>0.10435693861182149</v>
      </c>
      <c r="S69" s="168">
        <v>5.7901651963262586E-2</v>
      </c>
      <c r="T69" s="169">
        <v>1.8916175718261683E-2</v>
      </c>
      <c r="U69" s="169">
        <v>4.4289868810320904E-3</v>
      </c>
      <c r="V69" s="169">
        <v>1.6248484796222377E-2</v>
      </c>
      <c r="W69" s="169">
        <v>2.1825804869495077E-2</v>
      </c>
      <c r="X69" s="169">
        <v>2.3204031811279117E-2</v>
      </c>
      <c r="Y69" s="169">
        <v>2.3821745816053543E-2</v>
      </c>
      <c r="Z69" s="169">
        <v>2.4124540957748707E-2</v>
      </c>
      <c r="AA69" s="169">
        <v>2.4234124951036908E-2</v>
      </c>
      <c r="AB69" s="169">
        <v>2.42594023424209E-2</v>
      </c>
      <c r="AC69" s="169">
        <v>2.4248178093270015E-2</v>
      </c>
      <c r="AD69" s="170">
        <v>1.6902565182475016E-2</v>
      </c>
      <c r="AE69" s="170">
        <v>2.413758512015729E-2</v>
      </c>
      <c r="AF69" s="170">
        <v>2.0513663508957336E-2</v>
      </c>
    </row>
    <row r="70" spans="2:32" x14ac:dyDescent="0.3">
      <c r="B70" s="1" t="s">
        <v>57</v>
      </c>
      <c r="C70" s="1" t="s">
        <v>60</v>
      </c>
      <c r="D70" s="1" t="s">
        <v>22</v>
      </c>
      <c r="E70" s="1" t="s">
        <v>51</v>
      </c>
      <c r="F70" s="5" t="str">
        <f t="shared" si="0"/>
        <v>Social housing - Metro - $250 mil-$500 mil</v>
      </c>
      <c r="G70" s="168">
        <v>2.5267075208362289E-2</v>
      </c>
      <c r="H70" s="168">
        <v>2.577908478354269E-2</v>
      </c>
      <c r="I70" s="168">
        <v>2.4103625316370541E-2</v>
      </c>
      <c r="J70" s="168">
        <v>2.4424759503902486E-2</v>
      </c>
      <c r="K70" s="168">
        <v>4.6145753631793442E-2</v>
      </c>
      <c r="L70" s="168">
        <v>2.1794768917469679E-2</v>
      </c>
      <c r="M70" s="168">
        <v>3.1992459215579493E-2</v>
      </c>
      <c r="N70" s="168">
        <v>3.4863472442244269E-2</v>
      </c>
      <c r="O70" s="168">
        <v>3.3436911805832387E-2</v>
      </c>
      <c r="P70" s="168">
        <v>1.9330634587715122E-2</v>
      </c>
      <c r="Q70" s="168">
        <v>1.9979677602588869E-2</v>
      </c>
      <c r="R70" s="168">
        <v>0.10435693861182149</v>
      </c>
      <c r="S70" s="168">
        <v>5.7901651963262586E-2</v>
      </c>
      <c r="T70" s="169">
        <v>1.8916175718261683E-2</v>
      </c>
      <c r="U70" s="169">
        <v>4.4289868810320904E-3</v>
      </c>
      <c r="V70" s="169">
        <v>1.6248484796222377E-2</v>
      </c>
      <c r="W70" s="169">
        <v>2.1825804869495077E-2</v>
      </c>
      <c r="X70" s="169">
        <v>2.3204031811279117E-2</v>
      </c>
      <c r="Y70" s="169">
        <v>2.3821745816053543E-2</v>
      </c>
      <c r="Z70" s="169">
        <v>2.4124540957748707E-2</v>
      </c>
      <c r="AA70" s="169">
        <v>2.4234124951036908E-2</v>
      </c>
      <c r="AB70" s="169">
        <v>2.42594023424209E-2</v>
      </c>
      <c r="AC70" s="169">
        <v>2.4248178093270015E-2</v>
      </c>
      <c r="AD70" s="170">
        <v>1.6902565182475016E-2</v>
      </c>
      <c r="AE70" s="170">
        <v>2.413758512015729E-2</v>
      </c>
      <c r="AF70" s="170">
        <v>2.0513663508957336E-2</v>
      </c>
    </row>
    <row r="71" spans="2:32" x14ac:dyDescent="0.3">
      <c r="B71" s="1" t="s">
        <v>57</v>
      </c>
      <c r="C71" s="1" t="s">
        <v>60</v>
      </c>
      <c r="D71" s="1" t="s">
        <v>22</v>
      </c>
      <c r="E71" s="1" t="s">
        <v>23</v>
      </c>
      <c r="F71" s="5" t="str">
        <f t="shared" si="0"/>
        <v>Social housing - Metro - $500 mil-$1 bn</v>
      </c>
      <c r="G71" s="168">
        <v>2.5267075208362289E-2</v>
      </c>
      <c r="H71" s="168">
        <v>2.577908478354269E-2</v>
      </c>
      <c r="I71" s="168">
        <v>2.4103625316370541E-2</v>
      </c>
      <c r="J71" s="168">
        <v>2.4424759503902486E-2</v>
      </c>
      <c r="K71" s="168">
        <v>4.6145753631793442E-2</v>
      </c>
      <c r="L71" s="168">
        <v>2.1794768917469679E-2</v>
      </c>
      <c r="M71" s="168">
        <v>3.1992459215579493E-2</v>
      </c>
      <c r="N71" s="168">
        <v>3.4863472442244269E-2</v>
      </c>
      <c r="O71" s="168">
        <v>3.3436911805832387E-2</v>
      </c>
      <c r="P71" s="168">
        <v>1.9330634587715122E-2</v>
      </c>
      <c r="Q71" s="168">
        <v>1.9979677602588869E-2</v>
      </c>
      <c r="R71" s="168">
        <v>0.10435693861182149</v>
      </c>
      <c r="S71" s="168">
        <v>5.7901651963262586E-2</v>
      </c>
      <c r="T71" s="169">
        <v>1.8916175718261683E-2</v>
      </c>
      <c r="U71" s="169">
        <v>4.4289868810320904E-3</v>
      </c>
      <c r="V71" s="169">
        <v>1.6248484796222377E-2</v>
      </c>
      <c r="W71" s="169">
        <v>2.1825804869495077E-2</v>
      </c>
      <c r="X71" s="169">
        <v>2.3204031811279117E-2</v>
      </c>
      <c r="Y71" s="169">
        <v>2.3821745816053543E-2</v>
      </c>
      <c r="Z71" s="169">
        <v>2.4124540957748707E-2</v>
      </c>
      <c r="AA71" s="169">
        <v>2.4234124951036908E-2</v>
      </c>
      <c r="AB71" s="169">
        <v>2.42594023424209E-2</v>
      </c>
      <c r="AC71" s="169">
        <v>2.4248178093270015E-2</v>
      </c>
      <c r="AD71" s="170">
        <v>1.6902565182475016E-2</v>
      </c>
      <c r="AE71" s="170">
        <v>2.413758512015729E-2</v>
      </c>
      <c r="AF71" s="170">
        <v>2.0513663508957336E-2</v>
      </c>
    </row>
    <row r="72" spans="2:32" x14ac:dyDescent="0.3">
      <c r="B72" s="1" t="s">
        <v>57</v>
      </c>
      <c r="C72" s="1" t="s">
        <v>60</v>
      </c>
      <c r="D72" s="1" t="s">
        <v>22</v>
      </c>
      <c r="E72" s="1" t="s">
        <v>52</v>
      </c>
      <c r="F72" s="5" t="str">
        <f t="shared" si="0"/>
        <v>Social housing - Metro - $1 bn-$5 bn</v>
      </c>
      <c r="G72" s="168">
        <v>2.5267075208362289E-2</v>
      </c>
      <c r="H72" s="168">
        <v>2.577908478354269E-2</v>
      </c>
      <c r="I72" s="168">
        <v>2.4103625316370541E-2</v>
      </c>
      <c r="J72" s="168">
        <v>2.4424759503902486E-2</v>
      </c>
      <c r="K72" s="168">
        <v>4.6145753631793442E-2</v>
      </c>
      <c r="L72" s="168">
        <v>2.1794768917469679E-2</v>
      </c>
      <c r="M72" s="168">
        <v>3.1992459215579493E-2</v>
      </c>
      <c r="N72" s="168">
        <v>3.4863472442244269E-2</v>
      </c>
      <c r="O72" s="168">
        <v>3.3436911805832387E-2</v>
      </c>
      <c r="P72" s="168">
        <v>1.9330634587715122E-2</v>
      </c>
      <c r="Q72" s="168">
        <v>1.9979677602588869E-2</v>
      </c>
      <c r="R72" s="168">
        <v>0.10435693861182149</v>
      </c>
      <c r="S72" s="168">
        <v>5.7901651963262586E-2</v>
      </c>
      <c r="T72" s="169">
        <v>1.8916175718261683E-2</v>
      </c>
      <c r="U72" s="169">
        <v>4.4289868810320904E-3</v>
      </c>
      <c r="V72" s="169">
        <v>1.6248484796222377E-2</v>
      </c>
      <c r="W72" s="169">
        <v>2.1825804869495077E-2</v>
      </c>
      <c r="X72" s="169">
        <v>2.3204031811279117E-2</v>
      </c>
      <c r="Y72" s="169">
        <v>2.3821745816053543E-2</v>
      </c>
      <c r="Z72" s="169">
        <v>2.4124540957748707E-2</v>
      </c>
      <c r="AA72" s="169">
        <v>2.4234124951036908E-2</v>
      </c>
      <c r="AB72" s="169">
        <v>2.42594023424209E-2</v>
      </c>
      <c r="AC72" s="169">
        <v>2.4248178093270015E-2</v>
      </c>
      <c r="AD72" s="170">
        <v>1.6902565182475016E-2</v>
      </c>
      <c r="AE72" s="170">
        <v>2.413758512015729E-2</v>
      </c>
      <c r="AF72" s="170">
        <v>2.0513663508957336E-2</v>
      </c>
    </row>
    <row r="73" spans="2:32" x14ac:dyDescent="0.3">
      <c r="B73" s="1" t="s">
        <v>57</v>
      </c>
      <c r="C73" s="1" t="s">
        <v>60</v>
      </c>
      <c r="D73" s="1" t="s">
        <v>22</v>
      </c>
      <c r="E73" s="1" t="s">
        <v>28</v>
      </c>
      <c r="F73" s="5" t="str">
        <f t="shared" si="0"/>
        <v>Social housing - Metro - &gt;$5 bn</v>
      </c>
      <c r="G73" s="168">
        <v>2.5267075208362289E-2</v>
      </c>
      <c r="H73" s="168">
        <v>2.577908478354269E-2</v>
      </c>
      <c r="I73" s="168">
        <v>2.4103625316370541E-2</v>
      </c>
      <c r="J73" s="168">
        <v>2.4424759503902486E-2</v>
      </c>
      <c r="K73" s="168">
        <v>4.6145753631793442E-2</v>
      </c>
      <c r="L73" s="168">
        <v>2.1794768917469679E-2</v>
      </c>
      <c r="M73" s="168">
        <v>3.1992459215579493E-2</v>
      </c>
      <c r="N73" s="168">
        <v>3.4863472442244269E-2</v>
      </c>
      <c r="O73" s="168">
        <v>3.3436911805832387E-2</v>
      </c>
      <c r="P73" s="168">
        <v>1.9330634587715122E-2</v>
      </c>
      <c r="Q73" s="168">
        <v>1.9979677602588869E-2</v>
      </c>
      <c r="R73" s="168">
        <v>0.10435693861182149</v>
      </c>
      <c r="S73" s="168">
        <v>5.7901651963262586E-2</v>
      </c>
      <c r="T73" s="169">
        <v>1.8916175718261683E-2</v>
      </c>
      <c r="U73" s="169">
        <v>4.4289868810320904E-3</v>
      </c>
      <c r="V73" s="169">
        <v>1.6248484796222377E-2</v>
      </c>
      <c r="W73" s="169">
        <v>2.1825804869495077E-2</v>
      </c>
      <c r="X73" s="169">
        <v>2.3204031811279117E-2</v>
      </c>
      <c r="Y73" s="169">
        <v>2.3821745816053543E-2</v>
      </c>
      <c r="Z73" s="169">
        <v>2.4124540957748707E-2</v>
      </c>
      <c r="AA73" s="169">
        <v>2.4234124951036908E-2</v>
      </c>
      <c r="AB73" s="169">
        <v>2.42594023424209E-2</v>
      </c>
      <c r="AC73" s="169">
        <v>2.4248178093270015E-2</v>
      </c>
      <c r="AD73" s="170">
        <v>1.6902565182475016E-2</v>
      </c>
      <c r="AE73" s="170">
        <v>2.413758512015729E-2</v>
      </c>
      <c r="AF73" s="170">
        <v>2.0513663508957336E-2</v>
      </c>
    </row>
    <row r="74" spans="2:32" x14ac:dyDescent="0.3">
      <c r="B74" s="1" t="s">
        <v>57</v>
      </c>
      <c r="C74" s="1" t="s">
        <v>60</v>
      </c>
      <c r="D74" s="1" t="s">
        <v>53</v>
      </c>
      <c r="E74" s="1" t="s">
        <v>50</v>
      </c>
      <c r="F74" s="5" t="str">
        <f t="shared" si="0"/>
        <v>Social housing - Regional - &lt;$250 mil</v>
      </c>
      <c r="G74" s="168">
        <v>2.5267075208362289E-2</v>
      </c>
      <c r="H74" s="168">
        <v>2.577908478354269E-2</v>
      </c>
      <c r="I74" s="168">
        <v>2.4103625316370541E-2</v>
      </c>
      <c r="J74" s="168">
        <v>2.4424759503902486E-2</v>
      </c>
      <c r="K74" s="168">
        <v>4.6145753631793442E-2</v>
      </c>
      <c r="L74" s="168">
        <v>2.1794768917469679E-2</v>
      </c>
      <c r="M74" s="168">
        <v>3.1992459215579493E-2</v>
      </c>
      <c r="N74" s="168">
        <v>3.4863472442244269E-2</v>
      </c>
      <c r="O74" s="168">
        <v>3.3436911805832387E-2</v>
      </c>
      <c r="P74" s="168">
        <v>1.9330634587715122E-2</v>
      </c>
      <c r="Q74" s="168">
        <v>1.9979677602588869E-2</v>
      </c>
      <c r="R74" s="168">
        <v>0.10435693861182149</v>
      </c>
      <c r="S74" s="168">
        <v>5.7901651963262586E-2</v>
      </c>
      <c r="T74" s="169">
        <v>1.8916175718261683E-2</v>
      </c>
      <c r="U74" s="169">
        <v>4.4289868810320904E-3</v>
      </c>
      <c r="V74" s="169">
        <v>1.6248484796222377E-2</v>
      </c>
      <c r="W74" s="169">
        <v>2.1825804869495077E-2</v>
      </c>
      <c r="X74" s="169">
        <v>2.3204031811279117E-2</v>
      </c>
      <c r="Y74" s="169">
        <v>2.3821745816053543E-2</v>
      </c>
      <c r="Z74" s="169">
        <v>2.4124540957748707E-2</v>
      </c>
      <c r="AA74" s="169">
        <v>2.4234124951036908E-2</v>
      </c>
      <c r="AB74" s="169">
        <v>2.42594023424209E-2</v>
      </c>
      <c r="AC74" s="169">
        <v>2.4248178093270015E-2</v>
      </c>
      <c r="AD74" s="170">
        <v>1.6902565182475016E-2</v>
      </c>
      <c r="AE74" s="170">
        <v>2.413758512015729E-2</v>
      </c>
      <c r="AF74" s="170">
        <v>2.0513663508957336E-2</v>
      </c>
    </row>
    <row r="75" spans="2:32" x14ac:dyDescent="0.3">
      <c r="B75" s="1" t="s">
        <v>57</v>
      </c>
      <c r="C75" s="1" t="s">
        <v>60</v>
      </c>
      <c r="D75" s="1" t="s">
        <v>53</v>
      </c>
      <c r="E75" s="1" t="s">
        <v>51</v>
      </c>
      <c r="F75" s="5" t="str">
        <f t="shared" si="0"/>
        <v>Social housing - Regional - $250 mil-$500 mil</v>
      </c>
      <c r="G75" s="168">
        <v>2.5267075208362289E-2</v>
      </c>
      <c r="H75" s="168">
        <v>2.577908478354269E-2</v>
      </c>
      <c r="I75" s="168">
        <v>2.4103625316370541E-2</v>
      </c>
      <c r="J75" s="168">
        <v>2.4424759503902486E-2</v>
      </c>
      <c r="K75" s="168">
        <v>4.6145753631793442E-2</v>
      </c>
      <c r="L75" s="168">
        <v>2.1794768917469679E-2</v>
      </c>
      <c r="M75" s="168">
        <v>3.1992459215579493E-2</v>
      </c>
      <c r="N75" s="168">
        <v>3.4863472442244269E-2</v>
      </c>
      <c r="O75" s="168">
        <v>3.3436911805832387E-2</v>
      </c>
      <c r="P75" s="168">
        <v>1.9330634587715122E-2</v>
      </c>
      <c r="Q75" s="168">
        <v>1.9979677602588869E-2</v>
      </c>
      <c r="R75" s="168">
        <v>0.10435693861182149</v>
      </c>
      <c r="S75" s="168">
        <v>5.7901651963262586E-2</v>
      </c>
      <c r="T75" s="169">
        <v>1.8916175718261683E-2</v>
      </c>
      <c r="U75" s="169">
        <v>4.4289868810320904E-3</v>
      </c>
      <c r="V75" s="169">
        <v>1.6248484796222377E-2</v>
      </c>
      <c r="W75" s="169">
        <v>2.1825804869495077E-2</v>
      </c>
      <c r="X75" s="169">
        <v>2.3204031811279117E-2</v>
      </c>
      <c r="Y75" s="169">
        <v>2.3821745816053543E-2</v>
      </c>
      <c r="Z75" s="169">
        <v>2.4124540957748707E-2</v>
      </c>
      <c r="AA75" s="169">
        <v>2.4234124951036908E-2</v>
      </c>
      <c r="AB75" s="169">
        <v>2.42594023424209E-2</v>
      </c>
      <c r="AC75" s="169">
        <v>2.4248178093270015E-2</v>
      </c>
      <c r="AD75" s="170">
        <v>1.6902565182475016E-2</v>
      </c>
      <c r="AE75" s="170">
        <v>2.413758512015729E-2</v>
      </c>
      <c r="AF75" s="170">
        <v>2.0513663508957336E-2</v>
      </c>
    </row>
    <row r="76" spans="2:32" x14ac:dyDescent="0.3">
      <c r="B76" s="1" t="s">
        <v>57</v>
      </c>
      <c r="C76" s="1" t="s">
        <v>60</v>
      </c>
      <c r="D76" s="1" t="s">
        <v>53</v>
      </c>
      <c r="E76" s="1" t="s">
        <v>23</v>
      </c>
      <c r="F76" s="5" t="str">
        <f t="shared" si="0"/>
        <v>Social housing - Regional - $500 mil-$1 bn</v>
      </c>
      <c r="G76" s="168">
        <v>2.5267075208362289E-2</v>
      </c>
      <c r="H76" s="168">
        <v>2.577908478354269E-2</v>
      </c>
      <c r="I76" s="168">
        <v>2.4103625316370541E-2</v>
      </c>
      <c r="J76" s="168">
        <v>2.4424759503902486E-2</v>
      </c>
      <c r="K76" s="168">
        <v>4.6145753631793442E-2</v>
      </c>
      <c r="L76" s="168">
        <v>2.1794768917469679E-2</v>
      </c>
      <c r="M76" s="168">
        <v>3.1992459215579493E-2</v>
      </c>
      <c r="N76" s="168">
        <v>3.4863472442244269E-2</v>
      </c>
      <c r="O76" s="168">
        <v>3.3436911805832387E-2</v>
      </c>
      <c r="P76" s="168">
        <v>1.9330634587715122E-2</v>
      </c>
      <c r="Q76" s="168">
        <v>1.9979677602588869E-2</v>
      </c>
      <c r="R76" s="168">
        <v>0.10435693861182149</v>
      </c>
      <c r="S76" s="168">
        <v>5.7901651963262586E-2</v>
      </c>
      <c r="T76" s="169">
        <v>1.8916175718261683E-2</v>
      </c>
      <c r="U76" s="169">
        <v>4.4289868810320904E-3</v>
      </c>
      <c r="V76" s="169">
        <v>1.6248484796222377E-2</v>
      </c>
      <c r="W76" s="169">
        <v>2.1825804869495077E-2</v>
      </c>
      <c r="X76" s="169">
        <v>2.3204031811279117E-2</v>
      </c>
      <c r="Y76" s="169">
        <v>2.3821745816053543E-2</v>
      </c>
      <c r="Z76" s="169">
        <v>2.4124540957748707E-2</v>
      </c>
      <c r="AA76" s="169">
        <v>2.4234124951036908E-2</v>
      </c>
      <c r="AB76" s="169">
        <v>2.42594023424209E-2</v>
      </c>
      <c r="AC76" s="169">
        <v>2.4248178093270015E-2</v>
      </c>
      <c r="AD76" s="170">
        <v>1.6902565182475016E-2</v>
      </c>
      <c r="AE76" s="170">
        <v>2.413758512015729E-2</v>
      </c>
      <c r="AF76" s="170">
        <v>2.0513663508957336E-2</v>
      </c>
    </row>
    <row r="77" spans="2:32" x14ac:dyDescent="0.3">
      <c r="B77" s="1" t="s">
        <v>57</v>
      </c>
      <c r="C77" s="1" t="s">
        <v>60</v>
      </c>
      <c r="D77" s="1" t="s">
        <v>53</v>
      </c>
      <c r="E77" s="1" t="s">
        <v>52</v>
      </c>
      <c r="F77" s="5" t="str">
        <f t="shared" si="0"/>
        <v>Social housing - Regional - $1 bn-$5 bn</v>
      </c>
      <c r="G77" s="168">
        <v>2.5267075208362289E-2</v>
      </c>
      <c r="H77" s="168">
        <v>2.577908478354269E-2</v>
      </c>
      <c r="I77" s="168">
        <v>2.4103625316370541E-2</v>
      </c>
      <c r="J77" s="168">
        <v>2.4424759503902486E-2</v>
      </c>
      <c r="K77" s="168">
        <v>4.6145753631793442E-2</v>
      </c>
      <c r="L77" s="168">
        <v>2.1794768917469679E-2</v>
      </c>
      <c r="M77" s="168">
        <v>3.1992459215579493E-2</v>
      </c>
      <c r="N77" s="168">
        <v>3.4863472442244269E-2</v>
      </c>
      <c r="O77" s="168">
        <v>3.3436911805832387E-2</v>
      </c>
      <c r="P77" s="168">
        <v>1.9330634587715122E-2</v>
      </c>
      <c r="Q77" s="168">
        <v>1.9979677602588869E-2</v>
      </c>
      <c r="R77" s="168">
        <v>0.10435693861182149</v>
      </c>
      <c r="S77" s="168">
        <v>5.7901651963262586E-2</v>
      </c>
      <c r="T77" s="169">
        <v>1.8916175718261683E-2</v>
      </c>
      <c r="U77" s="169">
        <v>4.4289868810320904E-3</v>
      </c>
      <c r="V77" s="169">
        <v>1.6248484796222377E-2</v>
      </c>
      <c r="W77" s="169">
        <v>2.1825804869495077E-2</v>
      </c>
      <c r="X77" s="169">
        <v>2.3204031811279117E-2</v>
      </c>
      <c r="Y77" s="169">
        <v>2.3821745816053543E-2</v>
      </c>
      <c r="Z77" s="169">
        <v>2.4124540957748707E-2</v>
      </c>
      <c r="AA77" s="169">
        <v>2.4234124951036908E-2</v>
      </c>
      <c r="AB77" s="169">
        <v>2.42594023424209E-2</v>
      </c>
      <c r="AC77" s="169">
        <v>2.4248178093270015E-2</v>
      </c>
      <c r="AD77" s="170">
        <v>1.6902565182475016E-2</v>
      </c>
      <c r="AE77" s="170">
        <v>2.413758512015729E-2</v>
      </c>
      <c r="AF77" s="170">
        <v>2.0513663508957336E-2</v>
      </c>
    </row>
    <row r="78" spans="2:32" x14ac:dyDescent="0.3">
      <c r="B78" s="1" t="s">
        <v>57</v>
      </c>
      <c r="C78" s="1" t="s">
        <v>60</v>
      </c>
      <c r="D78" s="1" t="s">
        <v>53</v>
      </c>
      <c r="E78" s="1" t="s">
        <v>28</v>
      </c>
      <c r="F78" s="5" t="str">
        <f t="shared" si="0"/>
        <v>Social housing - Regional - &gt;$5 bn</v>
      </c>
      <c r="G78" s="168">
        <v>2.5267075208362289E-2</v>
      </c>
      <c r="H78" s="168">
        <v>2.577908478354269E-2</v>
      </c>
      <c r="I78" s="168">
        <v>2.4103625316370541E-2</v>
      </c>
      <c r="J78" s="168">
        <v>2.4424759503902486E-2</v>
      </c>
      <c r="K78" s="168">
        <v>4.6145753631793442E-2</v>
      </c>
      <c r="L78" s="168">
        <v>2.1794768917469679E-2</v>
      </c>
      <c r="M78" s="168">
        <v>3.1992459215579493E-2</v>
      </c>
      <c r="N78" s="168">
        <v>3.4863472442244269E-2</v>
      </c>
      <c r="O78" s="168">
        <v>3.3436911805832387E-2</v>
      </c>
      <c r="P78" s="168">
        <v>1.9330634587715122E-2</v>
      </c>
      <c r="Q78" s="168">
        <v>1.9979677602588869E-2</v>
      </c>
      <c r="R78" s="168">
        <v>0.10435693861182149</v>
      </c>
      <c r="S78" s="168">
        <v>5.7901651963262586E-2</v>
      </c>
      <c r="T78" s="169">
        <v>1.8916175718261683E-2</v>
      </c>
      <c r="U78" s="169">
        <v>4.4289868810320904E-3</v>
      </c>
      <c r="V78" s="169">
        <v>1.6248484796222377E-2</v>
      </c>
      <c r="W78" s="169">
        <v>2.1825804869495077E-2</v>
      </c>
      <c r="X78" s="169">
        <v>2.3204031811279117E-2</v>
      </c>
      <c r="Y78" s="169">
        <v>2.3821745816053543E-2</v>
      </c>
      <c r="Z78" s="169">
        <v>2.4124540957748707E-2</v>
      </c>
      <c r="AA78" s="169">
        <v>2.4234124951036908E-2</v>
      </c>
      <c r="AB78" s="169">
        <v>2.42594023424209E-2</v>
      </c>
      <c r="AC78" s="169">
        <v>2.4248178093270015E-2</v>
      </c>
      <c r="AD78" s="170">
        <v>1.6902565182475016E-2</v>
      </c>
      <c r="AE78" s="170">
        <v>2.413758512015729E-2</v>
      </c>
      <c r="AF78" s="170">
        <v>2.0513663508957336E-2</v>
      </c>
    </row>
    <row r="79" spans="2:32" x14ac:dyDescent="0.3">
      <c r="B79" s="1" t="s">
        <v>57</v>
      </c>
      <c r="C79" s="1" t="s">
        <v>27</v>
      </c>
      <c r="D79" s="1" t="s">
        <v>22</v>
      </c>
      <c r="E79" s="1" t="s">
        <v>50</v>
      </c>
      <c r="F79" s="5" t="str">
        <f t="shared" si="0"/>
        <v>Hospitals - Metro - &lt;$250 mil</v>
      </c>
      <c r="G79" s="168">
        <v>1.4076816941550203E-2</v>
      </c>
      <c r="H79" s="168">
        <v>2.9778791859887119E-2</v>
      </c>
      <c r="I79" s="168">
        <v>2.0867736416394639E-2</v>
      </c>
      <c r="J79" s="168">
        <v>2.4153144033843249E-2</v>
      </c>
      <c r="K79" s="168">
        <v>6.2604382507258749E-2</v>
      </c>
      <c r="L79" s="168">
        <v>1.6311602682259001E-2</v>
      </c>
      <c r="M79" s="168">
        <v>3.3122435797162272E-2</v>
      </c>
      <c r="N79" s="168">
        <v>2.9086139288576795E-2</v>
      </c>
      <c r="O79" s="168">
        <v>3.9402768279161858E-2</v>
      </c>
      <c r="P79" s="168">
        <v>2.6107494299619949E-2</v>
      </c>
      <c r="Q79" s="168">
        <v>6.9598219468752064E-3</v>
      </c>
      <c r="R79" s="168">
        <v>0.12104347861872797</v>
      </c>
      <c r="S79" s="168">
        <v>6.4928904871829007E-2</v>
      </c>
      <c r="T79" s="169">
        <v>9.0586631203036488E-3</v>
      </c>
      <c r="U79" s="169">
        <v>-8.7452871376762359E-3</v>
      </c>
      <c r="V79" s="169">
        <v>1.1113819538654547E-2</v>
      </c>
      <c r="W79" s="169">
        <v>1.9028392014158572E-2</v>
      </c>
      <c r="X79" s="169">
        <v>2.0402739663389201E-2</v>
      </c>
      <c r="Y79" s="169">
        <v>2.0984017512262927E-2</v>
      </c>
      <c r="Z79" s="169">
        <v>2.1264300270983919E-2</v>
      </c>
      <c r="AA79" s="169">
        <v>2.1377840805581156E-2</v>
      </c>
      <c r="AB79" s="169">
        <v>2.1410648380097881E-2</v>
      </c>
      <c r="AC79" s="169">
        <v>2.1401473146860701E-2</v>
      </c>
      <c r="AD79" s="170">
        <v>1.0117570275707477E-2</v>
      </c>
      <c r="AE79" s="170">
        <v>2.1287643394764411E-2</v>
      </c>
      <c r="AF79" s="170">
        <v>1.5687251519148848E-2</v>
      </c>
    </row>
    <row r="80" spans="2:32" x14ac:dyDescent="0.3">
      <c r="B80" s="1" t="s">
        <v>57</v>
      </c>
      <c r="C80" s="1" t="s">
        <v>27</v>
      </c>
      <c r="D80" s="1" t="s">
        <v>22</v>
      </c>
      <c r="E80" s="1" t="s">
        <v>51</v>
      </c>
      <c r="F80" s="5" t="str">
        <f t="shared" si="0"/>
        <v>Hospitals - Metro - $250 mil-$500 mil</v>
      </c>
      <c r="G80" s="168">
        <v>1.4076816941550203E-2</v>
      </c>
      <c r="H80" s="168">
        <v>2.9778791859887119E-2</v>
      </c>
      <c r="I80" s="168">
        <v>2.0867736416394639E-2</v>
      </c>
      <c r="J80" s="168">
        <v>2.4153144033843249E-2</v>
      </c>
      <c r="K80" s="168">
        <v>6.2604382507258749E-2</v>
      </c>
      <c r="L80" s="168">
        <v>1.6311602682259001E-2</v>
      </c>
      <c r="M80" s="168">
        <v>3.3122435797162272E-2</v>
      </c>
      <c r="N80" s="168">
        <v>2.9086139288576795E-2</v>
      </c>
      <c r="O80" s="168">
        <v>3.9402768279161858E-2</v>
      </c>
      <c r="P80" s="168">
        <v>2.6107494299619949E-2</v>
      </c>
      <c r="Q80" s="168">
        <v>6.9598219468752064E-3</v>
      </c>
      <c r="R80" s="168">
        <v>0.12104347861872797</v>
      </c>
      <c r="S80" s="168">
        <v>6.4928904871829007E-2</v>
      </c>
      <c r="T80" s="169">
        <v>9.0586631203036488E-3</v>
      </c>
      <c r="U80" s="169">
        <v>-8.7452871376762359E-3</v>
      </c>
      <c r="V80" s="169">
        <v>1.1113819538654547E-2</v>
      </c>
      <c r="W80" s="169">
        <v>1.9028392014158572E-2</v>
      </c>
      <c r="X80" s="169">
        <v>2.0402739663389201E-2</v>
      </c>
      <c r="Y80" s="169">
        <v>2.0984017512262927E-2</v>
      </c>
      <c r="Z80" s="169">
        <v>2.1264300270983919E-2</v>
      </c>
      <c r="AA80" s="169">
        <v>2.1377840805581156E-2</v>
      </c>
      <c r="AB80" s="169">
        <v>2.1410648380097881E-2</v>
      </c>
      <c r="AC80" s="169">
        <v>2.1401473146860701E-2</v>
      </c>
      <c r="AD80" s="170">
        <v>1.0117570275707477E-2</v>
      </c>
      <c r="AE80" s="170">
        <v>2.1287643394764411E-2</v>
      </c>
      <c r="AF80" s="170">
        <v>1.5687251519148848E-2</v>
      </c>
    </row>
    <row r="81" spans="2:32" x14ac:dyDescent="0.3">
      <c r="B81" s="1" t="s">
        <v>57</v>
      </c>
      <c r="C81" s="1" t="s">
        <v>27</v>
      </c>
      <c r="D81" s="1" t="s">
        <v>22</v>
      </c>
      <c r="E81" s="1" t="s">
        <v>23</v>
      </c>
      <c r="F81" s="5" t="str">
        <f t="shared" si="0"/>
        <v>Hospitals - Metro - $500 mil-$1 bn</v>
      </c>
      <c r="G81" s="168">
        <v>1.4076816941550203E-2</v>
      </c>
      <c r="H81" s="168">
        <v>2.9778791859887119E-2</v>
      </c>
      <c r="I81" s="168">
        <v>2.0867736416394639E-2</v>
      </c>
      <c r="J81" s="168">
        <v>2.4153144033843249E-2</v>
      </c>
      <c r="K81" s="168">
        <v>6.2604382507258749E-2</v>
      </c>
      <c r="L81" s="168">
        <v>1.6311602682259001E-2</v>
      </c>
      <c r="M81" s="168">
        <v>3.3122435797162272E-2</v>
      </c>
      <c r="N81" s="168">
        <v>2.9086139288576795E-2</v>
      </c>
      <c r="O81" s="168">
        <v>3.9402768279161858E-2</v>
      </c>
      <c r="P81" s="168">
        <v>2.6107494299619949E-2</v>
      </c>
      <c r="Q81" s="168">
        <v>6.9598219468752064E-3</v>
      </c>
      <c r="R81" s="168">
        <v>0.12104347861872797</v>
      </c>
      <c r="S81" s="168">
        <v>6.4928904871829007E-2</v>
      </c>
      <c r="T81" s="169">
        <v>9.0586631203036488E-3</v>
      </c>
      <c r="U81" s="169">
        <v>-8.7452871376762359E-3</v>
      </c>
      <c r="V81" s="169">
        <v>1.1113819538654547E-2</v>
      </c>
      <c r="W81" s="169">
        <v>1.9028392014158572E-2</v>
      </c>
      <c r="X81" s="169">
        <v>2.0402739663389201E-2</v>
      </c>
      <c r="Y81" s="169">
        <v>2.0984017512262927E-2</v>
      </c>
      <c r="Z81" s="169">
        <v>2.1264300270983919E-2</v>
      </c>
      <c r="AA81" s="169">
        <v>2.1377840805581156E-2</v>
      </c>
      <c r="AB81" s="169">
        <v>2.1410648380097881E-2</v>
      </c>
      <c r="AC81" s="169">
        <v>2.1401473146860701E-2</v>
      </c>
      <c r="AD81" s="170">
        <v>1.0117570275707477E-2</v>
      </c>
      <c r="AE81" s="170">
        <v>2.1287643394764411E-2</v>
      </c>
      <c r="AF81" s="170">
        <v>1.5687251519148848E-2</v>
      </c>
    </row>
    <row r="82" spans="2:32" x14ac:dyDescent="0.3">
      <c r="B82" s="1" t="s">
        <v>57</v>
      </c>
      <c r="C82" s="1" t="s">
        <v>27</v>
      </c>
      <c r="D82" s="1" t="s">
        <v>22</v>
      </c>
      <c r="E82" s="1" t="s">
        <v>52</v>
      </c>
      <c r="F82" s="5" t="str">
        <f t="shared" ref="F82:F108" si="1">_xlfn.CONCAT(C82, " - ", D82, " - ",E82)</f>
        <v>Hospitals - Metro - $1 bn-$5 bn</v>
      </c>
      <c r="G82" s="168">
        <v>1.4076816941550203E-2</v>
      </c>
      <c r="H82" s="168">
        <v>2.9778791859887119E-2</v>
      </c>
      <c r="I82" s="168">
        <v>2.0867736416394639E-2</v>
      </c>
      <c r="J82" s="168">
        <v>2.4153144033843249E-2</v>
      </c>
      <c r="K82" s="168">
        <v>6.2604382507258749E-2</v>
      </c>
      <c r="L82" s="168">
        <v>1.6311602682259001E-2</v>
      </c>
      <c r="M82" s="168">
        <v>3.3122435797162272E-2</v>
      </c>
      <c r="N82" s="168">
        <v>2.9086139288576795E-2</v>
      </c>
      <c r="O82" s="168">
        <v>3.9402768279161858E-2</v>
      </c>
      <c r="P82" s="168">
        <v>2.6107494299619949E-2</v>
      </c>
      <c r="Q82" s="168">
        <v>6.9598219468752064E-3</v>
      </c>
      <c r="R82" s="168">
        <v>0.12104347861872797</v>
      </c>
      <c r="S82" s="168">
        <v>6.4928904871829007E-2</v>
      </c>
      <c r="T82" s="169">
        <v>9.0586631203036488E-3</v>
      </c>
      <c r="U82" s="169">
        <v>-8.7452871376762359E-3</v>
      </c>
      <c r="V82" s="169">
        <v>1.1113819538654547E-2</v>
      </c>
      <c r="W82" s="169">
        <v>1.9028392014158572E-2</v>
      </c>
      <c r="X82" s="169">
        <v>2.0402739663389201E-2</v>
      </c>
      <c r="Y82" s="169">
        <v>2.0984017512262927E-2</v>
      </c>
      <c r="Z82" s="169">
        <v>2.1264300270983919E-2</v>
      </c>
      <c r="AA82" s="169">
        <v>2.1377840805581156E-2</v>
      </c>
      <c r="AB82" s="169">
        <v>2.1410648380097881E-2</v>
      </c>
      <c r="AC82" s="169">
        <v>2.1401473146860701E-2</v>
      </c>
      <c r="AD82" s="170">
        <v>1.0117570275707477E-2</v>
      </c>
      <c r="AE82" s="170">
        <v>2.1287643394764411E-2</v>
      </c>
      <c r="AF82" s="170">
        <v>1.5687251519148848E-2</v>
      </c>
    </row>
    <row r="83" spans="2:32" x14ac:dyDescent="0.3">
      <c r="B83" s="1" t="s">
        <v>57</v>
      </c>
      <c r="C83" s="1" t="s">
        <v>27</v>
      </c>
      <c r="D83" s="1" t="s">
        <v>22</v>
      </c>
      <c r="E83" s="1" t="s">
        <v>28</v>
      </c>
      <c r="F83" s="5" t="str">
        <f t="shared" si="1"/>
        <v>Hospitals - Metro - &gt;$5 bn</v>
      </c>
      <c r="G83" s="168">
        <v>1.4076816941550203E-2</v>
      </c>
      <c r="H83" s="168">
        <v>2.9778791859887119E-2</v>
      </c>
      <c r="I83" s="168">
        <v>2.0867736416394639E-2</v>
      </c>
      <c r="J83" s="168">
        <v>2.4153144033843249E-2</v>
      </c>
      <c r="K83" s="168">
        <v>6.2604382507258749E-2</v>
      </c>
      <c r="L83" s="168">
        <v>1.6311602682259001E-2</v>
      </c>
      <c r="M83" s="168">
        <v>3.3122435797162272E-2</v>
      </c>
      <c r="N83" s="168">
        <v>2.9086139288576795E-2</v>
      </c>
      <c r="O83" s="168">
        <v>3.9402768279161858E-2</v>
      </c>
      <c r="P83" s="168">
        <v>2.6107494299619949E-2</v>
      </c>
      <c r="Q83" s="168">
        <v>6.9598219468752064E-3</v>
      </c>
      <c r="R83" s="168">
        <v>0.12104347861872797</v>
      </c>
      <c r="S83" s="168">
        <v>6.4928904871829007E-2</v>
      </c>
      <c r="T83" s="169">
        <v>9.0586631203036488E-3</v>
      </c>
      <c r="U83" s="169">
        <v>-8.7452871376762359E-3</v>
      </c>
      <c r="V83" s="169">
        <v>1.1113819538654547E-2</v>
      </c>
      <c r="W83" s="169">
        <v>1.9028392014158572E-2</v>
      </c>
      <c r="X83" s="169">
        <v>2.0402739663389201E-2</v>
      </c>
      <c r="Y83" s="169">
        <v>2.0984017512262927E-2</v>
      </c>
      <c r="Z83" s="169">
        <v>2.1264300270983919E-2</v>
      </c>
      <c r="AA83" s="169">
        <v>2.1377840805581156E-2</v>
      </c>
      <c r="AB83" s="169">
        <v>2.1410648380097881E-2</v>
      </c>
      <c r="AC83" s="169">
        <v>2.1401473146860701E-2</v>
      </c>
      <c r="AD83" s="170">
        <v>1.0117570275707477E-2</v>
      </c>
      <c r="AE83" s="170">
        <v>2.1287643394764411E-2</v>
      </c>
      <c r="AF83" s="170">
        <v>1.5687251519148848E-2</v>
      </c>
    </row>
    <row r="84" spans="2:32" x14ac:dyDescent="0.3">
      <c r="B84" s="1" t="s">
        <v>57</v>
      </c>
      <c r="C84" s="1" t="s">
        <v>27</v>
      </c>
      <c r="D84" s="1" t="s">
        <v>53</v>
      </c>
      <c r="E84" s="1" t="s">
        <v>50</v>
      </c>
      <c r="F84" s="5" t="str">
        <f t="shared" si="1"/>
        <v>Hospitals - Regional - &lt;$250 mil</v>
      </c>
      <c r="G84" s="168">
        <v>1.4076816941550203E-2</v>
      </c>
      <c r="H84" s="168">
        <v>2.9778791859887119E-2</v>
      </c>
      <c r="I84" s="168">
        <v>2.0867736416394639E-2</v>
      </c>
      <c r="J84" s="168">
        <v>2.4153144033843249E-2</v>
      </c>
      <c r="K84" s="168">
        <v>6.2604382507258749E-2</v>
      </c>
      <c r="L84" s="168">
        <v>1.6311602682259001E-2</v>
      </c>
      <c r="M84" s="168">
        <v>3.3122435797162272E-2</v>
      </c>
      <c r="N84" s="168">
        <v>2.9086139288576795E-2</v>
      </c>
      <c r="O84" s="168">
        <v>3.9402768279161858E-2</v>
      </c>
      <c r="P84" s="168">
        <v>2.6107494299619949E-2</v>
      </c>
      <c r="Q84" s="168">
        <v>6.9598219468752064E-3</v>
      </c>
      <c r="R84" s="168">
        <v>0.12104347861872797</v>
      </c>
      <c r="S84" s="168">
        <v>6.4928904871829007E-2</v>
      </c>
      <c r="T84" s="169">
        <v>9.0586631203036488E-3</v>
      </c>
      <c r="U84" s="169">
        <v>-8.7452871376762359E-3</v>
      </c>
      <c r="V84" s="169">
        <v>1.1113819538654547E-2</v>
      </c>
      <c r="W84" s="169">
        <v>1.9028392014158572E-2</v>
      </c>
      <c r="X84" s="169">
        <v>2.0402739663389201E-2</v>
      </c>
      <c r="Y84" s="169">
        <v>2.0984017512262927E-2</v>
      </c>
      <c r="Z84" s="169">
        <v>2.1264300270983919E-2</v>
      </c>
      <c r="AA84" s="169">
        <v>2.1377840805581156E-2</v>
      </c>
      <c r="AB84" s="169">
        <v>2.1410648380097881E-2</v>
      </c>
      <c r="AC84" s="169">
        <v>2.1401473146860701E-2</v>
      </c>
      <c r="AD84" s="170">
        <v>1.0117570275707477E-2</v>
      </c>
      <c r="AE84" s="170">
        <v>2.1287643394764411E-2</v>
      </c>
      <c r="AF84" s="170">
        <v>1.5687251519148848E-2</v>
      </c>
    </row>
    <row r="85" spans="2:32" x14ac:dyDescent="0.3">
      <c r="B85" s="1" t="s">
        <v>57</v>
      </c>
      <c r="C85" s="1" t="s">
        <v>27</v>
      </c>
      <c r="D85" s="1" t="s">
        <v>53</v>
      </c>
      <c r="E85" s="1" t="s">
        <v>51</v>
      </c>
      <c r="F85" s="5" t="str">
        <f t="shared" si="1"/>
        <v>Hospitals - Regional - $250 mil-$500 mil</v>
      </c>
      <c r="G85" s="168">
        <v>1.4076816941550203E-2</v>
      </c>
      <c r="H85" s="168">
        <v>2.9778791859887119E-2</v>
      </c>
      <c r="I85" s="168">
        <v>2.0867736416394639E-2</v>
      </c>
      <c r="J85" s="168">
        <v>2.4153144033843249E-2</v>
      </c>
      <c r="K85" s="168">
        <v>6.2604382507258749E-2</v>
      </c>
      <c r="L85" s="168">
        <v>1.6311602682259001E-2</v>
      </c>
      <c r="M85" s="168">
        <v>3.3122435797162272E-2</v>
      </c>
      <c r="N85" s="168">
        <v>2.9086139288576795E-2</v>
      </c>
      <c r="O85" s="168">
        <v>3.9402768279161858E-2</v>
      </c>
      <c r="P85" s="168">
        <v>2.6107494299619949E-2</v>
      </c>
      <c r="Q85" s="168">
        <v>6.9598219468752064E-3</v>
      </c>
      <c r="R85" s="168">
        <v>0.12104347861872797</v>
      </c>
      <c r="S85" s="168">
        <v>6.4928904871829007E-2</v>
      </c>
      <c r="T85" s="169">
        <v>9.0586631203036488E-3</v>
      </c>
      <c r="U85" s="169">
        <v>-8.7452871376762359E-3</v>
      </c>
      <c r="V85" s="169">
        <v>1.1113819538654547E-2</v>
      </c>
      <c r="W85" s="169">
        <v>1.9028392014158572E-2</v>
      </c>
      <c r="X85" s="169">
        <v>2.0402739663389201E-2</v>
      </c>
      <c r="Y85" s="169">
        <v>2.0984017512262927E-2</v>
      </c>
      <c r="Z85" s="169">
        <v>2.1264300270983919E-2</v>
      </c>
      <c r="AA85" s="169">
        <v>2.1377840805581156E-2</v>
      </c>
      <c r="AB85" s="169">
        <v>2.1410648380097881E-2</v>
      </c>
      <c r="AC85" s="169">
        <v>2.1401473146860701E-2</v>
      </c>
      <c r="AD85" s="170">
        <v>1.0117570275707477E-2</v>
      </c>
      <c r="AE85" s="170">
        <v>2.1287643394764411E-2</v>
      </c>
      <c r="AF85" s="170">
        <v>1.5687251519148848E-2</v>
      </c>
    </row>
    <row r="86" spans="2:32" x14ac:dyDescent="0.3">
      <c r="B86" s="1" t="s">
        <v>57</v>
      </c>
      <c r="C86" s="1" t="s">
        <v>27</v>
      </c>
      <c r="D86" s="1" t="s">
        <v>53</v>
      </c>
      <c r="E86" s="1" t="s">
        <v>23</v>
      </c>
      <c r="F86" s="5" t="str">
        <f t="shared" si="1"/>
        <v>Hospitals - Regional - $500 mil-$1 bn</v>
      </c>
      <c r="G86" s="168">
        <v>1.4076816941550203E-2</v>
      </c>
      <c r="H86" s="168">
        <v>2.9778791859887119E-2</v>
      </c>
      <c r="I86" s="168">
        <v>2.0867736416394639E-2</v>
      </c>
      <c r="J86" s="168">
        <v>2.4153144033843249E-2</v>
      </c>
      <c r="K86" s="168">
        <v>6.2604382507258749E-2</v>
      </c>
      <c r="L86" s="168">
        <v>1.6311602682259001E-2</v>
      </c>
      <c r="M86" s="168">
        <v>3.3122435797162272E-2</v>
      </c>
      <c r="N86" s="168">
        <v>2.9086139288576795E-2</v>
      </c>
      <c r="O86" s="168">
        <v>3.9402768279161858E-2</v>
      </c>
      <c r="P86" s="168">
        <v>2.6107494299619949E-2</v>
      </c>
      <c r="Q86" s="168">
        <v>6.9598219468752064E-3</v>
      </c>
      <c r="R86" s="168">
        <v>0.12104347861872797</v>
      </c>
      <c r="S86" s="168">
        <v>6.4928904871829007E-2</v>
      </c>
      <c r="T86" s="169">
        <v>9.0586631203036488E-3</v>
      </c>
      <c r="U86" s="169">
        <v>-8.7452871376762359E-3</v>
      </c>
      <c r="V86" s="169">
        <v>1.1113819538654547E-2</v>
      </c>
      <c r="W86" s="169">
        <v>1.9028392014158572E-2</v>
      </c>
      <c r="X86" s="169">
        <v>2.0402739663389201E-2</v>
      </c>
      <c r="Y86" s="169">
        <v>2.0984017512262927E-2</v>
      </c>
      <c r="Z86" s="169">
        <v>2.1264300270983919E-2</v>
      </c>
      <c r="AA86" s="169">
        <v>2.1377840805581156E-2</v>
      </c>
      <c r="AB86" s="169">
        <v>2.1410648380097881E-2</v>
      </c>
      <c r="AC86" s="169">
        <v>2.1401473146860701E-2</v>
      </c>
      <c r="AD86" s="170">
        <v>1.0117570275707477E-2</v>
      </c>
      <c r="AE86" s="170">
        <v>2.1287643394764411E-2</v>
      </c>
      <c r="AF86" s="170">
        <v>1.5687251519148848E-2</v>
      </c>
    </row>
    <row r="87" spans="2:32" x14ac:dyDescent="0.3">
      <c r="B87" s="1" t="s">
        <v>57</v>
      </c>
      <c r="C87" s="1" t="s">
        <v>27</v>
      </c>
      <c r="D87" s="1" t="s">
        <v>53</v>
      </c>
      <c r="E87" s="1" t="s">
        <v>52</v>
      </c>
      <c r="F87" s="5" t="str">
        <f t="shared" si="1"/>
        <v>Hospitals - Regional - $1 bn-$5 bn</v>
      </c>
      <c r="G87" s="168">
        <v>1.4076816941550203E-2</v>
      </c>
      <c r="H87" s="168">
        <v>2.9778791859887119E-2</v>
      </c>
      <c r="I87" s="168">
        <v>2.0867736416394639E-2</v>
      </c>
      <c r="J87" s="168">
        <v>2.4153144033843249E-2</v>
      </c>
      <c r="K87" s="168">
        <v>6.2604382507258749E-2</v>
      </c>
      <c r="L87" s="168">
        <v>1.6311602682259001E-2</v>
      </c>
      <c r="M87" s="168">
        <v>3.3122435797162272E-2</v>
      </c>
      <c r="N87" s="168">
        <v>2.9086139288576795E-2</v>
      </c>
      <c r="O87" s="168">
        <v>3.9402768279161858E-2</v>
      </c>
      <c r="P87" s="168">
        <v>2.6107494299619949E-2</v>
      </c>
      <c r="Q87" s="168">
        <v>6.9598219468752064E-3</v>
      </c>
      <c r="R87" s="168">
        <v>0.12104347861872797</v>
      </c>
      <c r="S87" s="168">
        <v>6.4928904871829007E-2</v>
      </c>
      <c r="T87" s="169">
        <v>9.0586631203036488E-3</v>
      </c>
      <c r="U87" s="169">
        <v>-8.7452871376762359E-3</v>
      </c>
      <c r="V87" s="169">
        <v>1.1113819538654547E-2</v>
      </c>
      <c r="W87" s="169">
        <v>1.9028392014158572E-2</v>
      </c>
      <c r="X87" s="169">
        <v>2.0402739663389201E-2</v>
      </c>
      <c r="Y87" s="169">
        <v>2.0984017512262927E-2</v>
      </c>
      <c r="Z87" s="169">
        <v>2.1264300270983919E-2</v>
      </c>
      <c r="AA87" s="169">
        <v>2.1377840805581156E-2</v>
      </c>
      <c r="AB87" s="169">
        <v>2.1410648380097881E-2</v>
      </c>
      <c r="AC87" s="169">
        <v>2.1401473146860701E-2</v>
      </c>
      <c r="AD87" s="170">
        <v>1.0117570275707477E-2</v>
      </c>
      <c r="AE87" s="170">
        <v>2.1287643394764411E-2</v>
      </c>
      <c r="AF87" s="170">
        <v>1.5687251519148848E-2</v>
      </c>
    </row>
    <row r="88" spans="2:32" x14ac:dyDescent="0.3">
      <c r="B88" s="1" t="s">
        <v>57</v>
      </c>
      <c r="C88" s="1" t="s">
        <v>27</v>
      </c>
      <c r="D88" s="1" t="s">
        <v>53</v>
      </c>
      <c r="E88" s="1" t="s">
        <v>28</v>
      </c>
      <c r="F88" s="5" t="str">
        <f t="shared" si="1"/>
        <v>Hospitals - Regional - &gt;$5 bn</v>
      </c>
      <c r="G88" s="168">
        <v>1.4076816941550203E-2</v>
      </c>
      <c r="H88" s="168">
        <v>2.9778791859887119E-2</v>
      </c>
      <c r="I88" s="168">
        <v>2.0867736416394639E-2</v>
      </c>
      <c r="J88" s="168">
        <v>2.4153144033843249E-2</v>
      </c>
      <c r="K88" s="168">
        <v>6.2604382507258749E-2</v>
      </c>
      <c r="L88" s="168">
        <v>1.6311602682259001E-2</v>
      </c>
      <c r="M88" s="168">
        <v>3.3122435797162272E-2</v>
      </c>
      <c r="N88" s="168">
        <v>2.9086139288576795E-2</v>
      </c>
      <c r="O88" s="168">
        <v>3.9402768279161858E-2</v>
      </c>
      <c r="P88" s="168">
        <v>2.6107494299619949E-2</v>
      </c>
      <c r="Q88" s="168">
        <v>6.9598219468752064E-3</v>
      </c>
      <c r="R88" s="168">
        <v>0.12104347861872797</v>
      </c>
      <c r="S88" s="168">
        <v>6.4928904871829007E-2</v>
      </c>
      <c r="T88" s="169">
        <v>9.0586631203036488E-3</v>
      </c>
      <c r="U88" s="169">
        <v>-8.7452871376762359E-3</v>
      </c>
      <c r="V88" s="169">
        <v>1.1113819538654547E-2</v>
      </c>
      <c r="W88" s="169">
        <v>1.9028392014158572E-2</v>
      </c>
      <c r="X88" s="169">
        <v>2.0402739663389201E-2</v>
      </c>
      <c r="Y88" s="169">
        <v>2.0984017512262927E-2</v>
      </c>
      <c r="Z88" s="169">
        <v>2.1264300270983919E-2</v>
      </c>
      <c r="AA88" s="169">
        <v>2.1377840805581156E-2</v>
      </c>
      <c r="AB88" s="169">
        <v>2.1410648380097881E-2</v>
      </c>
      <c r="AC88" s="169">
        <v>2.1401473146860701E-2</v>
      </c>
      <c r="AD88" s="170">
        <v>1.0117570275707477E-2</v>
      </c>
      <c r="AE88" s="170">
        <v>2.1287643394764411E-2</v>
      </c>
      <c r="AF88" s="170">
        <v>1.5687251519148848E-2</v>
      </c>
    </row>
    <row r="89" spans="2:32" x14ac:dyDescent="0.3">
      <c r="B89" s="1" t="s">
        <v>57</v>
      </c>
      <c r="C89" s="1" t="s">
        <v>61</v>
      </c>
      <c r="D89" s="1" t="s">
        <v>22</v>
      </c>
      <c r="E89" s="1" t="s">
        <v>50</v>
      </c>
      <c r="F89" s="5" t="str">
        <f t="shared" si="1"/>
        <v>Schools - Metro - &lt;$250 mil</v>
      </c>
      <c r="G89" s="168">
        <v>2.2606828962930578E-2</v>
      </c>
      <c r="H89" s="168">
        <v>2.8493690879967681E-2</v>
      </c>
      <c r="I89" s="168">
        <v>2.2828697005035217E-2</v>
      </c>
      <c r="J89" s="168">
        <v>2.827587973832054E-2</v>
      </c>
      <c r="K89" s="168">
        <v>5.044262761247794E-2</v>
      </c>
      <c r="L89" s="168">
        <v>2.0058938639802404E-2</v>
      </c>
      <c r="M89" s="168">
        <v>3.2659670276282617E-2</v>
      </c>
      <c r="N89" s="168">
        <v>3.691589650153744E-2</v>
      </c>
      <c r="O89" s="168">
        <v>3.6084131961943239E-2</v>
      </c>
      <c r="P89" s="168">
        <v>2.2716203495822644E-2</v>
      </c>
      <c r="Q89" s="168">
        <v>1.9249244104380184E-2</v>
      </c>
      <c r="R89" s="168">
        <v>0.10585488327730196</v>
      </c>
      <c r="S89" s="168">
        <v>5.4283926850216553E-2</v>
      </c>
      <c r="T89" s="169">
        <v>1.4976357446754988E-2</v>
      </c>
      <c r="U89" s="169">
        <v>2.8488813852652053E-3</v>
      </c>
      <c r="V89" s="169">
        <v>1.6947739476776198E-2</v>
      </c>
      <c r="W89" s="169">
        <v>2.2846729490728336E-2</v>
      </c>
      <c r="X89" s="169">
        <v>2.3897253861756725E-2</v>
      </c>
      <c r="Y89" s="169">
        <v>2.4374527825046646E-2</v>
      </c>
      <c r="Z89" s="169">
        <v>2.4584176398599587E-2</v>
      </c>
      <c r="AA89" s="169">
        <v>2.4584618460240043E-2</v>
      </c>
      <c r="AB89" s="169">
        <v>2.4520059835681618E-2</v>
      </c>
      <c r="AC89" s="169">
        <v>2.4449279000864403E-2</v>
      </c>
      <c r="AD89" s="170">
        <v>1.6275366778168543E-2</v>
      </c>
      <c r="AE89" s="170">
        <v>2.4502529089558855E-2</v>
      </c>
      <c r="AF89" s="170">
        <v>2.0380656184569634E-2</v>
      </c>
    </row>
    <row r="90" spans="2:32" x14ac:dyDescent="0.3">
      <c r="B90" s="1" t="s">
        <v>57</v>
      </c>
      <c r="C90" s="1" t="s">
        <v>61</v>
      </c>
      <c r="D90" s="1" t="s">
        <v>22</v>
      </c>
      <c r="E90" s="1" t="s">
        <v>51</v>
      </c>
      <c r="F90" s="5" t="str">
        <f t="shared" si="1"/>
        <v>Schools - Metro - $250 mil-$500 mil</v>
      </c>
      <c r="G90" s="168">
        <v>2.2606828962930578E-2</v>
      </c>
      <c r="H90" s="168">
        <v>2.8493690879967681E-2</v>
      </c>
      <c r="I90" s="168">
        <v>2.2828697005035217E-2</v>
      </c>
      <c r="J90" s="168">
        <v>2.827587973832054E-2</v>
      </c>
      <c r="K90" s="168">
        <v>5.044262761247794E-2</v>
      </c>
      <c r="L90" s="168">
        <v>2.0058938639802404E-2</v>
      </c>
      <c r="M90" s="168">
        <v>3.2659670276282617E-2</v>
      </c>
      <c r="N90" s="168">
        <v>3.691589650153744E-2</v>
      </c>
      <c r="O90" s="168">
        <v>3.6084131961943239E-2</v>
      </c>
      <c r="P90" s="168">
        <v>2.2716203495822644E-2</v>
      </c>
      <c r="Q90" s="168">
        <v>1.9249244104380184E-2</v>
      </c>
      <c r="R90" s="168">
        <v>0.10585488327730196</v>
      </c>
      <c r="S90" s="168">
        <v>5.4283926850216553E-2</v>
      </c>
      <c r="T90" s="169">
        <v>1.4976357446754988E-2</v>
      </c>
      <c r="U90" s="169">
        <v>2.8488813852652053E-3</v>
      </c>
      <c r="V90" s="169">
        <v>1.6947739476776198E-2</v>
      </c>
      <c r="W90" s="169">
        <v>2.2846729490728336E-2</v>
      </c>
      <c r="X90" s="169">
        <v>2.3897253861756725E-2</v>
      </c>
      <c r="Y90" s="169">
        <v>2.4374527825046646E-2</v>
      </c>
      <c r="Z90" s="169">
        <v>2.4584176398599587E-2</v>
      </c>
      <c r="AA90" s="169">
        <v>2.4584618460240043E-2</v>
      </c>
      <c r="AB90" s="169">
        <v>2.4520059835681618E-2</v>
      </c>
      <c r="AC90" s="169">
        <v>2.4449279000864403E-2</v>
      </c>
      <c r="AD90" s="170">
        <v>1.6275366778168543E-2</v>
      </c>
      <c r="AE90" s="170">
        <v>2.4502529089558855E-2</v>
      </c>
      <c r="AF90" s="170">
        <v>2.0380656184569634E-2</v>
      </c>
    </row>
    <row r="91" spans="2:32" x14ac:dyDescent="0.3">
      <c r="B91" s="1" t="s">
        <v>57</v>
      </c>
      <c r="C91" s="1" t="s">
        <v>61</v>
      </c>
      <c r="D91" s="1" t="s">
        <v>22</v>
      </c>
      <c r="E91" s="1" t="s">
        <v>23</v>
      </c>
      <c r="F91" s="5" t="str">
        <f t="shared" si="1"/>
        <v>Schools - Metro - $500 mil-$1 bn</v>
      </c>
      <c r="G91" s="168">
        <v>2.2606828962930578E-2</v>
      </c>
      <c r="H91" s="168">
        <v>2.8493690879967681E-2</v>
      </c>
      <c r="I91" s="168">
        <v>2.2828697005035217E-2</v>
      </c>
      <c r="J91" s="168">
        <v>2.827587973832054E-2</v>
      </c>
      <c r="K91" s="168">
        <v>5.044262761247794E-2</v>
      </c>
      <c r="L91" s="168">
        <v>2.0058938639802404E-2</v>
      </c>
      <c r="M91" s="168">
        <v>3.2659670276282617E-2</v>
      </c>
      <c r="N91" s="168">
        <v>3.691589650153744E-2</v>
      </c>
      <c r="O91" s="168">
        <v>3.6084131961943239E-2</v>
      </c>
      <c r="P91" s="168">
        <v>2.2716203495822644E-2</v>
      </c>
      <c r="Q91" s="168">
        <v>1.9249244104380184E-2</v>
      </c>
      <c r="R91" s="168">
        <v>0.10585488327730196</v>
      </c>
      <c r="S91" s="168">
        <v>5.4283926850216553E-2</v>
      </c>
      <c r="T91" s="169">
        <v>1.4976357446754988E-2</v>
      </c>
      <c r="U91" s="169">
        <v>2.8488813852652053E-3</v>
      </c>
      <c r="V91" s="169">
        <v>1.6947739476776198E-2</v>
      </c>
      <c r="W91" s="169">
        <v>2.2846729490728336E-2</v>
      </c>
      <c r="X91" s="169">
        <v>2.3897253861756725E-2</v>
      </c>
      <c r="Y91" s="169">
        <v>2.4374527825046646E-2</v>
      </c>
      <c r="Z91" s="169">
        <v>2.4584176398599587E-2</v>
      </c>
      <c r="AA91" s="169">
        <v>2.4584618460240043E-2</v>
      </c>
      <c r="AB91" s="169">
        <v>2.4520059835681618E-2</v>
      </c>
      <c r="AC91" s="169">
        <v>2.4449279000864403E-2</v>
      </c>
      <c r="AD91" s="170">
        <v>1.6275366778168543E-2</v>
      </c>
      <c r="AE91" s="170">
        <v>2.4502529089558855E-2</v>
      </c>
      <c r="AF91" s="170">
        <v>2.0380656184569634E-2</v>
      </c>
    </row>
    <row r="92" spans="2:32" x14ac:dyDescent="0.3">
      <c r="B92" s="1" t="s">
        <v>57</v>
      </c>
      <c r="C92" s="1" t="s">
        <v>61</v>
      </c>
      <c r="D92" s="1" t="s">
        <v>22</v>
      </c>
      <c r="E92" s="1" t="s">
        <v>52</v>
      </c>
      <c r="F92" s="5" t="str">
        <f t="shared" si="1"/>
        <v>Schools - Metro - $1 bn-$5 bn</v>
      </c>
      <c r="G92" s="168">
        <v>2.2606828962930578E-2</v>
      </c>
      <c r="H92" s="168">
        <v>2.8493690879967681E-2</v>
      </c>
      <c r="I92" s="168">
        <v>2.2828697005035217E-2</v>
      </c>
      <c r="J92" s="168">
        <v>2.827587973832054E-2</v>
      </c>
      <c r="K92" s="168">
        <v>5.044262761247794E-2</v>
      </c>
      <c r="L92" s="168">
        <v>2.0058938639802404E-2</v>
      </c>
      <c r="M92" s="168">
        <v>3.2659670276282617E-2</v>
      </c>
      <c r="N92" s="168">
        <v>3.691589650153744E-2</v>
      </c>
      <c r="O92" s="168">
        <v>3.6084131961943239E-2</v>
      </c>
      <c r="P92" s="168">
        <v>2.2716203495822644E-2</v>
      </c>
      <c r="Q92" s="168">
        <v>1.9249244104380184E-2</v>
      </c>
      <c r="R92" s="168">
        <v>0.10585488327730196</v>
      </c>
      <c r="S92" s="168">
        <v>5.4283926850216553E-2</v>
      </c>
      <c r="T92" s="169">
        <v>1.4976357446754988E-2</v>
      </c>
      <c r="U92" s="169">
        <v>2.8488813852652053E-3</v>
      </c>
      <c r="V92" s="169">
        <v>1.6947739476776198E-2</v>
      </c>
      <c r="W92" s="169">
        <v>2.2846729490728336E-2</v>
      </c>
      <c r="X92" s="169">
        <v>2.3897253861756725E-2</v>
      </c>
      <c r="Y92" s="169">
        <v>2.4374527825046646E-2</v>
      </c>
      <c r="Z92" s="169">
        <v>2.4584176398599587E-2</v>
      </c>
      <c r="AA92" s="169">
        <v>2.4584618460240043E-2</v>
      </c>
      <c r="AB92" s="169">
        <v>2.4520059835681618E-2</v>
      </c>
      <c r="AC92" s="169">
        <v>2.4449279000864403E-2</v>
      </c>
      <c r="AD92" s="170">
        <v>1.6275366778168543E-2</v>
      </c>
      <c r="AE92" s="170">
        <v>2.4502529089558855E-2</v>
      </c>
      <c r="AF92" s="170">
        <v>2.0380656184569634E-2</v>
      </c>
    </row>
    <row r="93" spans="2:32" x14ac:dyDescent="0.3">
      <c r="B93" s="1" t="s">
        <v>57</v>
      </c>
      <c r="C93" s="1" t="s">
        <v>61</v>
      </c>
      <c r="D93" s="1" t="s">
        <v>22</v>
      </c>
      <c r="E93" s="1" t="s">
        <v>28</v>
      </c>
      <c r="F93" s="5" t="str">
        <f t="shared" si="1"/>
        <v>Schools - Metro - &gt;$5 bn</v>
      </c>
      <c r="G93" s="168">
        <v>2.2606828962930578E-2</v>
      </c>
      <c r="H93" s="168">
        <v>2.8493690879967681E-2</v>
      </c>
      <c r="I93" s="168">
        <v>2.2828697005035217E-2</v>
      </c>
      <c r="J93" s="168">
        <v>2.827587973832054E-2</v>
      </c>
      <c r="K93" s="168">
        <v>5.044262761247794E-2</v>
      </c>
      <c r="L93" s="168">
        <v>2.0058938639802404E-2</v>
      </c>
      <c r="M93" s="168">
        <v>3.2659670276282617E-2</v>
      </c>
      <c r="N93" s="168">
        <v>3.691589650153744E-2</v>
      </c>
      <c r="O93" s="168">
        <v>3.6084131961943239E-2</v>
      </c>
      <c r="P93" s="168">
        <v>2.2716203495822644E-2</v>
      </c>
      <c r="Q93" s="168">
        <v>1.9249244104380184E-2</v>
      </c>
      <c r="R93" s="168">
        <v>0.10585488327730196</v>
      </c>
      <c r="S93" s="168">
        <v>5.4283926850216553E-2</v>
      </c>
      <c r="T93" s="169">
        <v>1.4976357446754988E-2</v>
      </c>
      <c r="U93" s="169">
        <v>2.8488813852652053E-3</v>
      </c>
      <c r="V93" s="169">
        <v>1.6947739476776198E-2</v>
      </c>
      <c r="W93" s="169">
        <v>2.2846729490728336E-2</v>
      </c>
      <c r="X93" s="169">
        <v>2.3897253861756725E-2</v>
      </c>
      <c r="Y93" s="169">
        <v>2.4374527825046646E-2</v>
      </c>
      <c r="Z93" s="169">
        <v>2.4584176398599587E-2</v>
      </c>
      <c r="AA93" s="169">
        <v>2.4584618460240043E-2</v>
      </c>
      <c r="AB93" s="169">
        <v>2.4520059835681618E-2</v>
      </c>
      <c r="AC93" s="169">
        <v>2.4449279000864403E-2</v>
      </c>
      <c r="AD93" s="170">
        <v>1.6275366778168543E-2</v>
      </c>
      <c r="AE93" s="170">
        <v>2.4502529089558855E-2</v>
      </c>
      <c r="AF93" s="170">
        <v>2.0380656184569634E-2</v>
      </c>
    </row>
    <row r="94" spans="2:32" x14ac:dyDescent="0.3">
      <c r="B94" s="1" t="s">
        <v>57</v>
      </c>
      <c r="C94" s="1" t="s">
        <v>61</v>
      </c>
      <c r="D94" s="1" t="s">
        <v>53</v>
      </c>
      <c r="E94" s="1" t="s">
        <v>50</v>
      </c>
      <c r="F94" s="5" t="str">
        <f t="shared" si="1"/>
        <v>Schools - Regional - &lt;$250 mil</v>
      </c>
      <c r="G94" s="168">
        <v>2.2606828962930578E-2</v>
      </c>
      <c r="H94" s="168">
        <v>2.8493690879967681E-2</v>
      </c>
      <c r="I94" s="168">
        <v>2.2828697005035217E-2</v>
      </c>
      <c r="J94" s="168">
        <v>2.827587973832054E-2</v>
      </c>
      <c r="K94" s="168">
        <v>5.044262761247794E-2</v>
      </c>
      <c r="L94" s="168">
        <v>2.0058938639802404E-2</v>
      </c>
      <c r="M94" s="168">
        <v>3.2659670276282617E-2</v>
      </c>
      <c r="N94" s="168">
        <v>3.691589650153744E-2</v>
      </c>
      <c r="O94" s="168">
        <v>3.6084131961943239E-2</v>
      </c>
      <c r="P94" s="168">
        <v>2.2716203495822644E-2</v>
      </c>
      <c r="Q94" s="168">
        <v>1.9249244104380184E-2</v>
      </c>
      <c r="R94" s="168">
        <v>0.10585488327730196</v>
      </c>
      <c r="S94" s="168">
        <v>5.4283926850216553E-2</v>
      </c>
      <c r="T94" s="169">
        <v>1.4976357446754988E-2</v>
      </c>
      <c r="U94" s="169">
        <v>2.8488813852652053E-3</v>
      </c>
      <c r="V94" s="169">
        <v>1.6947739476776198E-2</v>
      </c>
      <c r="W94" s="169">
        <v>2.2846729490728336E-2</v>
      </c>
      <c r="X94" s="169">
        <v>2.3897253861756725E-2</v>
      </c>
      <c r="Y94" s="169">
        <v>2.4374527825046646E-2</v>
      </c>
      <c r="Z94" s="169">
        <v>2.4584176398599587E-2</v>
      </c>
      <c r="AA94" s="169">
        <v>2.4584618460240043E-2</v>
      </c>
      <c r="AB94" s="169">
        <v>2.4520059835681618E-2</v>
      </c>
      <c r="AC94" s="169">
        <v>2.4449279000864403E-2</v>
      </c>
      <c r="AD94" s="170">
        <v>1.6275366778168543E-2</v>
      </c>
      <c r="AE94" s="170">
        <v>2.4502529089558855E-2</v>
      </c>
      <c r="AF94" s="170">
        <v>2.0380656184569634E-2</v>
      </c>
    </row>
    <row r="95" spans="2:32" x14ac:dyDescent="0.3">
      <c r="B95" s="1" t="s">
        <v>57</v>
      </c>
      <c r="C95" s="1" t="s">
        <v>61</v>
      </c>
      <c r="D95" s="1" t="s">
        <v>53</v>
      </c>
      <c r="E95" s="1" t="s">
        <v>51</v>
      </c>
      <c r="F95" s="5" t="str">
        <f t="shared" si="1"/>
        <v>Schools - Regional - $250 mil-$500 mil</v>
      </c>
      <c r="G95" s="168">
        <v>2.2606828962930578E-2</v>
      </c>
      <c r="H95" s="168">
        <v>2.8493690879967681E-2</v>
      </c>
      <c r="I95" s="168">
        <v>2.2828697005035217E-2</v>
      </c>
      <c r="J95" s="168">
        <v>2.827587973832054E-2</v>
      </c>
      <c r="K95" s="168">
        <v>5.044262761247794E-2</v>
      </c>
      <c r="L95" s="168">
        <v>2.0058938639802404E-2</v>
      </c>
      <c r="M95" s="168">
        <v>3.2659670276282617E-2</v>
      </c>
      <c r="N95" s="168">
        <v>3.691589650153744E-2</v>
      </c>
      <c r="O95" s="168">
        <v>3.6084131961943239E-2</v>
      </c>
      <c r="P95" s="168">
        <v>2.2716203495822644E-2</v>
      </c>
      <c r="Q95" s="168">
        <v>1.9249244104380184E-2</v>
      </c>
      <c r="R95" s="168">
        <v>0.10585488327730196</v>
      </c>
      <c r="S95" s="168">
        <v>5.4283926850216553E-2</v>
      </c>
      <c r="T95" s="169">
        <v>1.4976357446754988E-2</v>
      </c>
      <c r="U95" s="169">
        <v>2.8488813852652053E-3</v>
      </c>
      <c r="V95" s="169">
        <v>1.6947739476776198E-2</v>
      </c>
      <c r="W95" s="169">
        <v>2.2846729490728336E-2</v>
      </c>
      <c r="X95" s="169">
        <v>2.3897253861756725E-2</v>
      </c>
      <c r="Y95" s="169">
        <v>2.4374527825046646E-2</v>
      </c>
      <c r="Z95" s="169">
        <v>2.4584176398599587E-2</v>
      </c>
      <c r="AA95" s="169">
        <v>2.4584618460240043E-2</v>
      </c>
      <c r="AB95" s="169">
        <v>2.4520059835681618E-2</v>
      </c>
      <c r="AC95" s="169">
        <v>2.4449279000864403E-2</v>
      </c>
      <c r="AD95" s="170">
        <v>1.6275366778168543E-2</v>
      </c>
      <c r="AE95" s="170">
        <v>2.4502529089558855E-2</v>
      </c>
      <c r="AF95" s="170">
        <v>2.0380656184569634E-2</v>
      </c>
    </row>
    <row r="96" spans="2:32" x14ac:dyDescent="0.3">
      <c r="B96" s="1" t="s">
        <v>57</v>
      </c>
      <c r="C96" s="1" t="s">
        <v>61</v>
      </c>
      <c r="D96" s="1" t="s">
        <v>53</v>
      </c>
      <c r="E96" s="1" t="s">
        <v>23</v>
      </c>
      <c r="F96" s="5" t="str">
        <f t="shared" si="1"/>
        <v>Schools - Regional - $500 mil-$1 bn</v>
      </c>
      <c r="G96" s="168">
        <v>2.2606828962930578E-2</v>
      </c>
      <c r="H96" s="168">
        <v>2.8493690879967681E-2</v>
      </c>
      <c r="I96" s="168">
        <v>2.2828697005035217E-2</v>
      </c>
      <c r="J96" s="168">
        <v>2.827587973832054E-2</v>
      </c>
      <c r="K96" s="168">
        <v>5.044262761247794E-2</v>
      </c>
      <c r="L96" s="168">
        <v>2.0058938639802404E-2</v>
      </c>
      <c r="M96" s="168">
        <v>3.2659670276282617E-2</v>
      </c>
      <c r="N96" s="168">
        <v>3.691589650153744E-2</v>
      </c>
      <c r="O96" s="168">
        <v>3.6084131961943239E-2</v>
      </c>
      <c r="P96" s="168">
        <v>2.2716203495822644E-2</v>
      </c>
      <c r="Q96" s="168">
        <v>1.9249244104380184E-2</v>
      </c>
      <c r="R96" s="168">
        <v>0.10585488327730196</v>
      </c>
      <c r="S96" s="168">
        <v>5.4283926850216553E-2</v>
      </c>
      <c r="T96" s="169">
        <v>1.4976357446754988E-2</v>
      </c>
      <c r="U96" s="169">
        <v>2.8488813852652053E-3</v>
      </c>
      <c r="V96" s="169">
        <v>1.6947739476776198E-2</v>
      </c>
      <c r="W96" s="169">
        <v>2.2846729490728336E-2</v>
      </c>
      <c r="X96" s="169">
        <v>2.3897253861756725E-2</v>
      </c>
      <c r="Y96" s="169">
        <v>2.4374527825046646E-2</v>
      </c>
      <c r="Z96" s="169">
        <v>2.4584176398599587E-2</v>
      </c>
      <c r="AA96" s="169">
        <v>2.4584618460240043E-2</v>
      </c>
      <c r="AB96" s="169">
        <v>2.4520059835681618E-2</v>
      </c>
      <c r="AC96" s="169">
        <v>2.4449279000864403E-2</v>
      </c>
      <c r="AD96" s="170">
        <v>1.6275366778168543E-2</v>
      </c>
      <c r="AE96" s="170">
        <v>2.4502529089558855E-2</v>
      </c>
      <c r="AF96" s="170">
        <v>2.0380656184569634E-2</v>
      </c>
    </row>
    <row r="97" spans="2:32" x14ac:dyDescent="0.3">
      <c r="B97" s="1" t="s">
        <v>57</v>
      </c>
      <c r="C97" s="1" t="s">
        <v>61</v>
      </c>
      <c r="D97" s="1" t="s">
        <v>53</v>
      </c>
      <c r="E97" s="1" t="s">
        <v>52</v>
      </c>
      <c r="F97" s="5" t="str">
        <f t="shared" si="1"/>
        <v>Schools - Regional - $1 bn-$5 bn</v>
      </c>
      <c r="G97" s="168">
        <v>2.2606828962930578E-2</v>
      </c>
      <c r="H97" s="168">
        <v>2.8493690879967681E-2</v>
      </c>
      <c r="I97" s="168">
        <v>2.2828697005035217E-2</v>
      </c>
      <c r="J97" s="168">
        <v>2.827587973832054E-2</v>
      </c>
      <c r="K97" s="168">
        <v>5.044262761247794E-2</v>
      </c>
      <c r="L97" s="168">
        <v>2.0058938639802404E-2</v>
      </c>
      <c r="M97" s="168">
        <v>3.2659670276282617E-2</v>
      </c>
      <c r="N97" s="168">
        <v>3.691589650153744E-2</v>
      </c>
      <c r="O97" s="168">
        <v>3.6084131961943239E-2</v>
      </c>
      <c r="P97" s="168">
        <v>2.2716203495822644E-2</v>
      </c>
      <c r="Q97" s="168">
        <v>1.9249244104380184E-2</v>
      </c>
      <c r="R97" s="168">
        <v>0.10585488327730196</v>
      </c>
      <c r="S97" s="168">
        <v>5.4283926850216553E-2</v>
      </c>
      <c r="T97" s="169">
        <v>1.4976357446754988E-2</v>
      </c>
      <c r="U97" s="169">
        <v>2.8488813852652053E-3</v>
      </c>
      <c r="V97" s="169">
        <v>1.6947739476776198E-2</v>
      </c>
      <c r="W97" s="169">
        <v>2.2846729490728336E-2</v>
      </c>
      <c r="X97" s="169">
        <v>2.3897253861756725E-2</v>
      </c>
      <c r="Y97" s="169">
        <v>2.4374527825046646E-2</v>
      </c>
      <c r="Z97" s="169">
        <v>2.4584176398599587E-2</v>
      </c>
      <c r="AA97" s="169">
        <v>2.4584618460240043E-2</v>
      </c>
      <c r="AB97" s="169">
        <v>2.4520059835681618E-2</v>
      </c>
      <c r="AC97" s="169">
        <v>2.4449279000864403E-2</v>
      </c>
      <c r="AD97" s="170">
        <v>1.6275366778168543E-2</v>
      </c>
      <c r="AE97" s="170">
        <v>2.4502529089558855E-2</v>
      </c>
      <c r="AF97" s="170">
        <v>2.0380656184569634E-2</v>
      </c>
    </row>
    <row r="98" spans="2:32" x14ac:dyDescent="0.3">
      <c r="B98" s="1" t="s">
        <v>57</v>
      </c>
      <c r="C98" s="1" t="s">
        <v>61</v>
      </c>
      <c r="D98" s="1" t="s">
        <v>53</v>
      </c>
      <c r="E98" s="1" t="s">
        <v>28</v>
      </c>
      <c r="F98" s="5" t="str">
        <f t="shared" si="1"/>
        <v>Schools - Regional - &gt;$5 bn</v>
      </c>
      <c r="G98" s="168">
        <v>2.2606828962930578E-2</v>
      </c>
      <c r="H98" s="168">
        <v>2.8493690879967681E-2</v>
      </c>
      <c r="I98" s="168">
        <v>2.2828697005035217E-2</v>
      </c>
      <c r="J98" s="168">
        <v>2.827587973832054E-2</v>
      </c>
      <c r="K98" s="168">
        <v>5.044262761247794E-2</v>
      </c>
      <c r="L98" s="168">
        <v>2.0058938639802404E-2</v>
      </c>
      <c r="M98" s="168">
        <v>3.2659670276282617E-2</v>
      </c>
      <c r="N98" s="168">
        <v>3.691589650153744E-2</v>
      </c>
      <c r="O98" s="168">
        <v>3.6084131961943239E-2</v>
      </c>
      <c r="P98" s="168">
        <v>2.2716203495822644E-2</v>
      </c>
      <c r="Q98" s="168">
        <v>1.9249244104380184E-2</v>
      </c>
      <c r="R98" s="168">
        <v>0.10585488327730196</v>
      </c>
      <c r="S98" s="168">
        <v>5.4283926850216553E-2</v>
      </c>
      <c r="T98" s="169">
        <v>1.4976357446754988E-2</v>
      </c>
      <c r="U98" s="169">
        <v>2.8488813852652053E-3</v>
      </c>
      <c r="V98" s="169">
        <v>1.6947739476776198E-2</v>
      </c>
      <c r="W98" s="169">
        <v>2.2846729490728336E-2</v>
      </c>
      <c r="X98" s="169">
        <v>2.3897253861756725E-2</v>
      </c>
      <c r="Y98" s="169">
        <v>2.4374527825046646E-2</v>
      </c>
      <c r="Z98" s="169">
        <v>2.4584176398599587E-2</v>
      </c>
      <c r="AA98" s="169">
        <v>2.4584618460240043E-2</v>
      </c>
      <c r="AB98" s="169">
        <v>2.4520059835681618E-2</v>
      </c>
      <c r="AC98" s="169">
        <v>2.4449279000864403E-2</v>
      </c>
      <c r="AD98" s="170">
        <v>1.6275366778168543E-2</v>
      </c>
      <c r="AE98" s="170">
        <v>2.4502529089558855E-2</v>
      </c>
      <c r="AF98" s="170">
        <v>2.0380656184569634E-2</v>
      </c>
    </row>
    <row r="99" spans="2:32" x14ac:dyDescent="0.3">
      <c r="B99" s="1" t="s">
        <v>62</v>
      </c>
      <c r="C99" s="1" t="s">
        <v>63</v>
      </c>
      <c r="D99" s="1" t="s">
        <v>22</v>
      </c>
      <c r="E99" s="1" t="s">
        <v>50</v>
      </c>
      <c r="F99" s="5" t="str">
        <f t="shared" si="1"/>
        <v>Solar - Metro - &lt;$250 mil</v>
      </c>
      <c r="G99" s="168">
        <v>8.836242089621844E-3</v>
      </c>
      <c r="H99" s="168">
        <v>1.8884071772207259E-2</v>
      </c>
      <c r="I99" s="168">
        <v>1.8753886392060732E-2</v>
      </c>
      <c r="J99" s="168">
        <v>1.5358361065502001E-2</v>
      </c>
      <c r="K99" s="168">
        <v>5.1413338970097956E-2</v>
      </c>
      <c r="L99" s="168">
        <v>-6.5780861118013784E-3</v>
      </c>
      <c r="M99" s="168">
        <v>9.1214119358330129E-3</v>
      </c>
      <c r="N99" s="168">
        <v>3.8576433576579902E-2</v>
      </c>
      <c r="O99" s="168">
        <v>2.3169479114818269E-2</v>
      </c>
      <c r="P99" s="168">
        <v>2.2749112778593018E-2</v>
      </c>
      <c r="Q99" s="168">
        <v>-4.9976652386813612E-3</v>
      </c>
      <c r="R99" s="168">
        <v>0.12672331122444178</v>
      </c>
      <c r="S99" s="168">
        <v>6.3953401642902849E-2</v>
      </c>
      <c r="T99" s="169">
        <v>2.3535429499226185E-2</v>
      </c>
      <c r="U99" s="169">
        <v>-1.0285592308912943E-2</v>
      </c>
      <c r="V99" s="169">
        <v>8.4116332376691291E-3</v>
      </c>
      <c r="W99" s="169">
        <v>1.4020069776964815E-2</v>
      </c>
      <c r="X99" s="169">
        <v>1.7345126692235514E-2</v>
      </c>
      <c r="Y99" s="169">
        <v>1.8375634780013198E-2</v>
      </c>
      <c r="Z99" s="169">
        <v>1.8767943419255056E-2</v>
      </c>
      <c r="AA99" s="169">
        <v>1.8932197653734377E-2</v>
      </c>
      <c r="AB99" s="169">
        <v>1.8991316765532826E-2</v>
      </c>
      <c r="AC99" s="169">
        <v>1.8990180473347391E-2</v>
      </c>
      <c r="AD99" s="170">
        <v>1.0539039409686479E-2</v>
      </c>
      <c r="AE99" s="170">
        <v>1.881142804330227E-2</v>
      </c>
      <c r="AF99" s="170">
        <v>1.4666803356889968E-2</v>
      </c>
    </row>
    <row r="100" spans="2:32" x14ac:dyDescent="0.3">
      <c r="B100" s="1" t="s">
        <v>62</v>
      </c>
      <c r="C100" s="1" t="s">
        <v>63</v>
      </c>
      <c r="D100" s="1" t="s">
        <v>22</v>
      </c>
      <c r="E100" s="1" t="s">
        <v>51</v>
      </c>
      <c r="F100" s="5" t="str">
        <f t="shared" si="1"/>
        <v>Solar - Metro - $250 mil-$500 mil</v>
      </c>
      <c r="G100" s="168">
        <v>8.836242089621844E-3</v>
      </c>
      <c r="H100" s="168">
        <v>1.8884071772207259E-2</v>
      </c>
      <c r="I100" s="168">
        <v>1.8753886392060732E-2</v>
      </c>
      <c r="J100" s="168">
        <v>1.5358361065502001E-2</v>
      </c>
      <c r="K100" s="168">
        <v>5.1413338970097956E-2</v>
      </c>
      <c r="L100" s="168">
        <v>-6.5780861118013784E-3</v>
      </c>
      <c r="M100" s="168">
        <v>9.1214119358330129E-3</v>
      </c>
      <c r="N100" s="168">
        <v>3.8576433576579902E-2</v>
      </c>
      <c r="O100" s="168">
        <v>2.3169479114818269E-2</v>
      </c>
      <c r="P100" s="168">
        <v>2.2749112778593018E-2</v>
      </c>
      <c r="Q100" s="168">
        <v>-4.9976652386813612E-3</v>
      </c>
      <c r="R100" s="168">
        <v>0.12672331122444178</v>
      </c>
      <c r="S100" s="168">
        <v>6.3953401642902849E-2</v>
      </c>
      <c r="T100" s="169">
        <v>2.3535429499226185E-2</v>
      </c>
      <c r="U100" s="169">
        <v>-1.0285592308912943E-2</v>
      </c>
      <c r="V100" s="169">
        <v>8.4116332376691291E-3</v>
      </c>
      <c r="W100" s="169">
        <v>1.4020069776964815E-2</v>
      </c>
      <c r="X100" s="169">
        <v>1.7345126692235514E-2</v>
      </c>
      <c r="Y100" s="169">
        <v>1.8375634780013198E-2</v>
      </c>
      <c r="Z100" s="169">
        <v>1.8767943419255056E-2</v>
      </c>
      <c r="AA100" s="169">
        <v>1.8932197653734377E-2</v>
      </c>
      <c r="AB100" s="169">
        <v>1.8991316765532826E-2</v>
      </c>
      <c r="AC100" s="169">
        <v>1.8990180473347391E-2</v>
      </c>
      <c r="AD100" s="170">
        <v>1.0539039409686479E-2</v>
      </c>
      <c r="AE100" s="170">
        <v>1.881142804330227E-2</v>
      </c>
      <c r="AF100" s="170">
        <v>1.4666803356889968E-2</v>
      </c>
    </row>
    <row r="101" spans="2:32" x14ac:dyDescent="0.3">
      <c r="B101" s="1" t="s">
        <v>62</v>
      </c>
      <c r="C101" s="1" t="s">
        <v>63</v>
      </c>
      <c r="D101" s="1" t="s">
        <v>22</v>
      </c>
      <c r="E101" s="1" t="s">
        <v>23</v>
      </c>
      <c r="F101" s="5" t="str">
        <f t="shared" si="1"/>
        <v>Solar - Metro - $500 mil-$1 bn</v>
      </c>
      <c r="G101" s="168">
        <v>0</v>
      </c>
      <c r="H101" s="168">
        <v>0</v>
      </c>
      <c r="I101" s="168">
        <v>0</v>
      </c>
      <c r="J101" s="168">
        <v>0</v>
      </c>
      <c r="K101" s="168">
        <v>0</v>
      </c>
      <c r="L101" s="168">
        <v>0</v>
      </c>
      <c r="M101" s="168">
        <v>0</v>
      </c>
      <c r="N101" s="168">
        <v>0</v>
      </c>
      <c r="O101" s="168">
        <v>0</v>
      </c>
      <c r="P101" s="168">
        <v>0</v>
      </c>
      <c r="Q101" s="168">
        <v>0</v>
      </c>
      <c r="R101" s="168">
        <v>0</v>
      </c>
      <c r="S101" s="168">
        <v>0</v>
      </c>
      <c r="T101" s="169">
        <v>0</v>
      </c>
      <c r="U101" s="169">
        <v>0</v>
      </c>
      <c r="V101" s="169">
        <v>0</v>
      </c>
      <c r="W101" s="169">
        <v>0</v>
      </c>
      <c r="X101" s="169">
        <v>0</v>
      </c>
      <c r="Y101" s="169">
        <v>0</v>
      </c>
      <c r="Z101" s="169">
        <v>0</v>
      </c>
      <c r="AA101" s="169">
        <v>0</v>
      </c>
      <c r="AB101" s="169">
        <v>0</v>
      </c>
      <c r="AC101" s="169">
        <v>0</v>
      </c>
      <c r="AD101" s="170">
        <v>0</v>
      </c>
      <c r="AE101" s="170">
        <v>0</v>
      </c>
      <c r="AF101" s="170">
        <v>0</v>
      </c>
    </row>
    <row r="102" spans="2:32" x14ac:dyDescent="0.3">
      <c r="B102" s="1" t="s">
        <v>62</v>
      </c>
      <c r="C102" s="1" t="s">
        <v>63</v>
      </c>
      <c r="D102" s="1" t="s">
        <v>22</v>
      </c>
      <c r="E102" s="1" t="s">
        <v>52</v>
      </c>
      <c r="F102" s="5" t="str">
        <f t="shared" si="1"/>
        <v>Solar - Metro - $1 bn-$5 bn</v>
      </c>
      <c r="G102" s="168">
        <v>0</v>
      </c>
      <c r="H102" s="168">
        <v>0</v>
      </c>
      <c r="I102" s="168">
        <v>0</v>
      </c>
      <c r="J102" s="168">
        <v>0</v>
      </c>
      <c r="K102" s="168">
        <v>0</v>
      </c>
      <c r="L102" s="168">
        <v>0</v>
      </c>
      <c r="M102" s="168">
        <v>0</v>
      </c>
      <c r="N102" s="168">
        <v>0</v>
      </c>
      <c r="O102" s="168">
        <v>0</v>
      </c>
      <c r="P102" s="168">
        <v>0</v>
      </c>
      <c r="Q102" s="168">
        <v>0</v>
      </c>
      <c r="R102" s="168">
        <v>0</v>
      </c>
      <c r="S102" s="168">
        <v>0</v>
      </c>
      <c r="T102" s="169">
        <v>0</v>
      </c>
      <c r="U102" s="169">
        <v>0</v>
      </c>
      <c r="V102" s="169">
        <v>0</v>
      </c>
      <c r="W102" s="169">
        <v>0</v>
      </c>
      <c r="X102" s="169">
        <v>0</v>
      </c>
      <c r="Y102" s="169">
        <v>0</v>
      </c>
      <c r="Z102" s="169">
        <v>0</v>
      </c>
      <c r="AA102" s="169">
        <v>0</v>
      </c>
      <c r="AB102" s="169">
        <v>0</v>
      </c>
      <c r="AC102" s="169">
        <v>0</v>
      </c>
      <c r="AD102" s="170">
        <v>0</v>
      </c>
      <c r="AE102" s="170">
        <v>0</v>
      </c>
      <c r="AF102" s="170">
        <v>0</v>
      </c>
    </row>
    <row r="103" spans="2:32" x14ac:dyDescent="0.3">
      <c r="B103" s="1" t="s">
        <v>62</v>
      </c>
      <c r="C103" s="1" t="s">
        <v>63</v>
      </c>
      <c r="D103" s="1" t="s">
        <v>22</v>
      </c>
      <c r="E103" s="1" t="s">
        <v>28</v>
      </c>
      <c r="F103" s="5" t="str">
        <f t="shared" si="1"/>
        <v>Solar - Metro - &gt;$5 bn</v>
      </c>
      <c r="G103" s="168">
        <v>0</v>
      </c>
      <c r="H103" s="168">
        <v>0</v>
      </c>
      <c r="I103" s="168">
        <v>0</v>
      </c>
      <c r="J103" s="168">
        <v>0</v>
      </c>
      <c r="K103" s="168">
        <v>0</v>
      </c>
      <c r="L103" s="168">
        <v>0</v>
      </c>
      <c r="M103" s="168">
        <v>0</v>
      </c>
      <c r="N103" s="168">
        <v>0</v>
      </c>
      <c r="O103" s="168">
        <v>0</v>
      </c>
      <c r="P103" s="168">
        <v>0</v>
      </c>
      <c r="Q103" s="168">
        <v>0</v>
      </c>
      <c r="R103" s="168">
        <v>0</v>
      </c>
      <c r="S103" s="168">
        <v>0</v>
      </c>
      <c r="T103" s="169">
        <v>0</v>
      </c>
      <c r="U103" s="169">
        <v>0</v>
      </c>
      <c r="V103" s="169">
        <v>0</v>
      </c>
      <c r="W103" s="169">
        <v>0</v>
      </c>
      <c r="X103" s="169">
        <v>0</v>
      </c>
      <c r="Y103" s="169">
        <v>0</v>
      </c>
      <c r="Z103" s="169">
        <v>0</v>
      </c>
      <c r="AA103" s="169">
        <v>0</v>
      </c>
      <c r="AB103" s="169">
        <v>0</v>
      </c>
      <c r="AC103" s="169">
        <v>0</v>
      </c>
      <c r="AD103" s="170">
        <v>0</v>
      </c>
      <c r="AE103" s="170">
        <v>0</v>
      </c>
      <c r="AF103" s="170">
        <v>0</v>
      </c>
    </row>
    <row r="104" spans="2:32" x14ac:dyDescent="0.3">
      <c r="B104" s="1" t="s">
        <v>62</v>
      </c>
      <c r="C104" s="1" t="s">
        <v>63</v>
      </c>
      <c r="D104" s="1" t="s">
        <v>53</v>
      </c>
      <c r="E104" s="1" t="s">
        <v>50</v>
      </c>
      <c r="F104" s="5" t="str">
        <f t="shared" si="1"/>
        <v>Solar - Regional - &lt;$250 mil</v>
      </c>
      <c r="G104" s="168">
        <v>8.836242089621844E-3</v>
      </c>
      <c r="H104" s="168">
        <v>1.8884071772207259E-2</v>
      </c>
      <c r="I104" s="168">
        <v>1.8753886392060732E-2</v>
      </c>
      <c r="J104" s="168">
        <v>1.5358361065502001E-2</v>
      </c>
      <c r="K104" s="168">
        <v>5.1413338970097956E-2</v>
      </c>
      <c r="L104" s="168">
        <v>-6.5780861118013784E-3</v>
      </c>
      <c r="M104" s="168">
        <v>9.1214119358330129E-3</v>
      </c>
      <c r="N104" s="168">
        <v>3.8576433576579902E-2</v>
      </c>
      <c r="O104" s="168">
        <v>2.3169479114818269E-2</v>
      </c>
      <c r="P104" s="168">
        <v>2.2749112778593018E-2</v>
      </c>
      <c r="Q104" s="168">
        <v>-4.9976652386813612E-3</v>
      </c>
      <c r="R104" s="168">
        <v>0.12672331122444178</v>
      </c>
      <c r="S104" s="168">
        <v>6.3953401642902849E-2</v>
      </c>
      <c r="T104" s="169">
        <v>2.3535429499226185E-2</v>
      </c>
      <c r="U104" s="169">
        <v>-1.0285592308912943E-2</v>
      </c>
      <c r="V104" s="169">
        <v>8.4116332376691291E-3</v>
      </c>
      <c r="W104" s="169">
        <v>1.4020069776964815E-2</v>
      </c>
      <c r="X104" s="169">
        <v>1.7345126692235514E-2</v>
      </c>
      <c r="Y104" s="169">
        <v>1.8375634780013198E-2</v>
      </c>
      <c r="Z104" s="169">
        <v>1.8767943419255056E-2</v>
      </c>
      <c r="AA104" s="169">
        <v>1.8932197653734377E-2</v>
      </c>
      <c r="AB104" s="169">
        <v>1.8991316765532826E-2</v>
      </c>
      <c r="AC104" s="169">
        <v>1.8990180473347391E-2</v>
      </c>
      <c r="AD104" s="170">
        <v>1.0539039409686479E-2</v>
      </c>
      <c r="AE104" s="170">
        <v>1.881142804330227E-2</v>
      </c>
      <c r="AF104" s="170">
        <v>1.4666803356889968E-2</v>
      </c>
    </row>
    <row r="105" spans="2:32" x14ac:dyDescent="0.3">
      <c r="B105" s="1" t="s">
        <v>62</v>
      </c>
      <c r="C105" s="1" t="s">
        <v>63</v>
      </c>
      <c r="D105" s="1" t="s">
        <v>53</v>
      </c>
      <c r="E105" s="1" t="s">
        <v>51</v>
      </c>
      <c r="F105" s="5" t="str">
        <f t="shared" si="1"/>
        <v>Solar - Regional - $250 mil-$500 mil</v>
      </c>
      <c r="G105" s="168">
        <v>8.836242089621844E-3</v>
      </c>
      <c r="H105" s="168">
        <v>1.8884071772207259E-2</v>
      </c>
      <c r="I105" s="168">
        <v>1.8753886392060732E-2</v>
      </c>
      <c r="J105" s="168">
        <v>1.5358361065502001E-2</v>
      </c>
      <c r="K105" s="168">
        <v>5.1413338970097956E-2</v>
      </c>
      <c r="L105" s="168">
        <v>-6.5780861118013784E-3</v>
      </c>
      <c r="M105" s="168">
        <v>9.1214119358330129E-3</v>
      </c>
      <c r="N105" s="168">
        <v>3.8576433576579902E-2</v>
      </c>
      <c r="O105" s="168">
        <v>2.3169479114818269E-2</v>
      </c>
      <c r="P105" s="168">
        <v>2.2749112778593018E-2</v>
      </c>
      <c r="Q105" s="168">
        <v>-4.9976652386813612E-3</v>
      </c>
      <c r="R105" s="168">
        <v>0.12672331122444178</v>
      </c>
      <c r="S105" s="168">
        <v>6.3953401642902849E-2</v>
      </c>
      <c r="T105" s="169">
        <v>2.3535429499226185E-2</v>
      </c>
      <c r="U105" s="169">
        <v>-1.0285592308912943E-2</v>
      </c>
      <c r="V105" s="169">
        <v>8.4116332376691291E-3</v>
      </c>
      <c r="W105" s="169">
        <v>1.4020069776964815E-2</v>
      </c>
      <c r="X105" s="169">
        <v>1.7345126692235514E-2</v>
      </c>
      <c r="Y105" s="169">
        <v>1.8375634780013198E-2</v>
      </c>
      <c r="Z105" s="169">
        <v>1.8767943419255056E-2</v>
      </c>
      <c r="AA105" s="169">
        <v>1.8932197653734377E-2</v>
      </c>
      <c r="AB105" s="169">
        <v>1.8991316765532826E-2</v>
      </c>
      <c r="AC105" s="169">
        <v>1.8990180473347391E-2</v>
      </c>
      <c r="AD105" s="170">
        <v>1.0539039409686479E-2</v>
      </c>
      <c r="AE105" s="170">
        <v>1.881142804330227E-2</v>
      </c>
      <c r="AF105" s="170">
        <v>1.4666803356889968E-2</v>
      </c>
    </row>
    <row r="106" spans="2:32" x14ac:dyDescent="0.3">
      <c r="B106" s="1" t="s">
        <v>62</v>
      </c>
      <c r="C106" s="1" t="s">
        <v>63</v>
      </c>
      <c r="D106" s="1" t="s">
        <v>53</v>
      </c>
      <c r="E106" s="1" t="s">
        <v>23</v>
      </c>
      <c r="F106" s="5" t="str">
        <f t="shared" si="1"/>
        <v>Solar - Regional - $500 mil-$1 bn</v>
      </c>
      <c r="G106" s="168">
        <v>0</v>
      </c>
      <c r="H106" s="168">
        <v>0</v>
      </c>
      <c r="I106" s="168">
        <v>0</v>
      </c>
      <c r="J106" s="168">
        <v>0</v>
      </c>
      <c r="K106" s="168">
        <v>0</v>
      </c>
      <c r="L106" s="168">
        <v>0</v>
      </c>
      <c r="M106" s="168">
        <v>0</v>
      </c>
      <c r="N106" s="168">
        <v>0</v>
      </c>
      <c r="O106" s="168">
        <v>0</v>
      </c>
      <c r="P106" s="168">
        <v>0</v>
      </c>
      <c r="Q106" s="168">
        <v>0</v>
      </c>
      <c r="R106" s="168">
        <v>0</v>
      </c>
      <c r="S106" s="168">
        <v>0</v>
      </c>
      <c r="T106" s="169">
        <v>0</v>
      </c>
      <c r="U106" s="169">
        <v>0</v>
      </c>
      <c r="V106" s="169">
        <v>0</v>
      </c>
      <c r="W106" s="169">
        <v>0</v>
      </c>
      <c r="X106" s="169">
        <v>0</v>
      </c>
      <c r="Y106" s="169">
        <v>0</v>
      </c>
      <c r="Z106" s="169">
        <v>0</v>
      </c>
      <c r="AA106" s="169">
        <v>0</v>
      </c>
      <c r="AB106" s="169">
        <v>0</v>
      </c>
      <c r="AC106" s="169">
        <v>0</v>
      </c>
      <c r="AD106" s="170">
        <v>0</v>
      </c>
      <c r="AE106" s="170">
        <v>0</v>
      </c>
      <c r="AF106" s="170">
        <v>0</v>
      </c>
    </row>
    <row r="107" spans="2:32" x14ac:dyDescent="0.3">
      <c r="B107" s="1" t="s">
        <v>62</v>
      </c>
      <c r="C107" s="1" t="s">
        <v>63</v>
      </c>
      <c r="D107" s="1" t="s">
        <v>53</v>
      </c>
      <c r="E107" s="1" t="s">
        <v>52</v>
      </c>
      <c r="F107" s="5" t="str">
        <f t="shared" si="1"/>
        <v>Solar - Regional - $1 bn-$5 bn</v>
      </c>
      <c r="G107" s="168">
        <v>0</v>
      </c>
      <c r="H107" s="168">
        <v>0</v>
      </c>
      <c r="I107" s="168">
        <v>0</v>
      </c>
      <c r="J107" s="168">
        <v>0</v>
      </c>
      <c r="K107" s="168">
        <v>0</v>
      </c>
      <c r="L107" s="168">
        <v>0</v>
      </c>
      <c r="M107" s="168">
        <v>0</v>
      </c>
      <c r="N107" s="168">
        <v>0</v>
      </c>
      <c r="O107" s="168">
        <v>0</v>
      </c>
      <c r="P107" s="168">
        <v>0</v>
      </c>
      <c r="Q107" s="168">
        <v>0</v>
      </c>
      <c r="R107" s="168">
        <v>0</v>
      </c>
      <c r="S107" s="168">
        <v>0</v>
      </c>
      <c r="T107" s="169">
        <v>0</v>
      </c>
      <c r="U107" s="169">
        <v>0</v>
      </c>
      <c r="V107" s="169">
        <v>0</v>
      </c>
      <c r="W107" s="169">
        <v>0</v>
      </c>
      <c r="X107" s="169">
        <v>0</v>
      </c>
      <c r="Y107" s="169">
        <v>0</v>
      </c>
      <c r="Z107" s="169">
        <v>0</v>
      </c>
      <c r="AA107" s="169">
        <v>0</v>
      </c>
      <c r="AB107" s="169">
        <v>0</v>
      </c>
      <c r="AC107" s="169">
        <v>0</v>
      </c>
      <c r="AD107" s="170">
        <v>0</v>
      </c>
      <c r="AE107" s="170">
        <v>0</v>
      </c>
      <c r="AF107" s="170">
        <v>0</v>
      </c>
    </row>
    <row r="108" spans="2:32" x14ac:dyDescent="0.3">
      <c r="B108" s="1" t="s">
        <v>62</v>
      </c>
      <c r="C108" s="1" t="s">
        <v>63</v>
      </c>
      <c r="D108" s="1" t="s">
        <v>53</v>
      </c>
      <c r="E108" s="1" t="s">
        <v>28</v>
      </c>
      <c r="F108" s="5" t="str">
        <f t="shared" si="1"/>
        <v>Solar - Regional - &gt;$5 bn</v>
      </c>
      <c r="G108" s="168">
        <v>0</v>
      </c>
      <c r="H108" s="168">
        <v>0</v>
      </c>
      <c r="I108" s="168">
        <v>0</v>
      </c>
      <c r="J108" s="168">
        <v>0</v>
      </c>
      <c r="K108" s="168">
        <v>0</v>
      </c>
      <c r="L108" s="168">
        <v>0</v>
      </c>
      <c r="M108" s="168">
        <v>0</v>
      </c>
      <c r="N108" s="168">
        <v>0</v>
      </c>
      <c r="O108" s="168">
        <v>0</v>
      </c>
      <c r="P108" s="168">
        <v>0</v>
      </c>
      <c r="Q108" s="168">
        <v>0</v>
      </c>
      <c r="R108" s="168">
        <v>0</v>
      </c>
      <c r="S108" s="168">
        <v>0</v>
      </c>
      <c r="T108" s="169">
        <v>0</v>
      </c>
      <c r="U108" s="169">
        <v>0</v>
      </c>
      <c r="V108" s="169">
        <v>0</v>
      </c>
      <c r="W108" s="169">
        <v>0</v>
      </c>
      <c r="X108" s="169">
        <v>0</v>
      </c>
      <c r="Y108" s="169">
        <v>0</v>
      </c>
      <c r="Z108" s="169">
        <v>0</v>
      </c>
      <c r="AA108" s="169">
        <v>0</v>
      </c>
      <c r="AB108" s="169">
        <v>0</v>
      </c>
      <c r="AC108" s="169">
        <v>0</v>
      </c>
      <c r="AD108" s="170">
        <v>0</v>
      </c>
      <c r="AE108" s="170">
        <v>0</v>
      </c>
      <c r="AF108" s="170">
        <v>0</v>
      </c>
    </row>
  </sheetData>
  <mergeCells count="1">
    <mergeCell ref="AD7:AF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DBE05-ADAA-4514-A3A7-23CCAE9BD451}">
  <sheetPr codeName="Sheet7">
    <tabColor theme="5" tint="0.59999389629810485"/>
  </sheetPr>
  <dimension ref="B1:AF108"/>
  <sheetViews>
    <sheetView workbookViewId="0">
      <selection activeCell="G14" sqref="G14"/>
    </sheetView>
  </sheetViews>
  <sheetFormatPr defaultColWidth="8.796875" defaultRowHeight="15.75" x14ac:dyDescent="0.3"/>
  <cols>
    <col min="1" max="1" width="2.5" style="1" customWidth="1"/>
    <col min="2" max="2" width="13.59765625" style="1" customWidth="1"/>
    <col min="3" max="3" width="10.296875" style="1" customWidth="1"/>
    <col min="4" max="4" width="11.296875" style="1" customWidth="1"/>
    <col min="5" max="5" width="19.296875" style="1" customWidth="1"/>
    <col min="6" max="6" width="34" style="1" customWidth="1"/>
    <col min="7" max="29" width="10.59765625" style="1" customWidth="1"/>
    <col min="30" max="30" width="15.5" style="1" bestFit="1" customWidth="1"/>
    <col min="31" max="31" width="15.59765625" style="1" bestFit="1" customWidth="1"/>
    <col min="32" max="32" width="16.5" style="1" bestFit="1" customWidth="1"/>
    <col min="33" max="16384" width="8.796875" style="1"/>
  </cols>
  <sheetData>
    <row r="1" spans="2:32" x14ac:dyDescent="0.3">
      <c r="B1" s="4"/>
    </row>
    <row r="3" spans="2:32" x14ac:dyDescent="0.3">
      <c r="B3" s="3"/>
    </row>
    <row r="4" spans="2:32" s="7" customFormat="1" ht="20.25" x14ac:dyDescent="0.4">
      <c r="B4" s="8" t="s">
        <v>126</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2:32" x14ac:dyDescent="0.3">
      <c r="B5" s="2" t="s">
        <v>97</v>
      </c>
    </row>
    <row r="6" spans="2:32" x14ac:dyDescent="0.3">
      <c r="B6" s="2" t="s">
        <v>31</v>
      </c>
    </row>
    <row r="7" spans="2:32" s="7" customFormat="1" x14ac:dyDescent="0.3">
      <c r="B7" s="12"/>
      <c r="AD7" s="173" t="s">
        <v>64</v>
      </c>
      <c r="AE7" s="173"/>
      <c r="AF7" s="173"/>
    </row>
    <row r="8" spans="2:32" s="7" customFormat="1" ht="17.25" x14ac:dyDescent="0.35">
      <c r="B8" s="9" t="s">
        <v>32</v>
      </c>
      <c r="C8" s="9" t="s">
        <v>33</v>
      </c>
      <c r="D8" s="9" t="s">
        <v>21</v>
      </c>
      <c r="E8" s="9" t="s">
        <v>34</v>
      </c>
      <c r="F8" s="9" t="s">
        <v>35</v>
      </c>
      <c r="G8" s="9" t="s">
        <v>36</v>
      </c>
      <c r="H8" s="9" t="s">
        <v>37</v>
      </c>
      <c r="I8" s="9" t="s">
        <v>38</v>
      </c>
      <c r="J8" s="9" t="s">
        <v>39</v>
      </c>
      <c r="K8" s="9" t="s">
        <v>40</v>
      </c>
      <c r="L8" s="9" t="s">
        <v>41</v>
      </c>
      <c r="M8" s="9" t="s">
        <v>42</v>
      </c>
      <c r="N8" s="9" t="s">
        <v>43</v>
      </c>
      <c r="O8" s="9" t="s">
        <v>44</v>
      </c>
      <c r="P8" s="9" t="s">
        <v>45</v>
      </c>
      <c r="Q8" s="9" t="s">
        <v>46</v>
      </c>
      <c r="R8" s="9" t="s">
        <v>47</v>
      </c>
      <c r="S8" s="9" t="s">
        <v>48</v>
      </c>
      <c r="T8" s="9" t="s">
        <v>5</v>
      </c>
      <c r="U8" s="9" t="s">
        <v>6</v>
      </c>
      <c r="V8" s="9" t="s">
        <v>7</v>
      </c>
      <c r="W8" s="9" t="s">
        <v>8</v>
      </c>
      <c r="X8" s="9" t="s">
        <v>9</v>
      </c>
      <c r="Y8" s="9" t="s">
        <v>10</v>
      </c>
      <c r="Z8" s="9" t="s">
        <v>11</v>
      </c>
      <c r="AA8" s="9" t="s">
        <v>12</v>
      </c>
      <c r="AB8" s="9" t="s">
        <v>13</v>
      </c>
      <c r="AC8" s="9" t="s">
        <v>14</v>
      </c>
      <c r="AD8" s="9" t="s">
        <v>139</v>
      </c>
      <c r="AE8" s="10" t="s">
        <v>140</v>
      </c>
      <c r="AF8" s="10" t="s">
        <v>141</v>
      </c>
    </row>
    <row r="9" spans="2:32" x14ac:dyDescent="0.3">
      <c r="B9" s="1" t="s">
        <v>49</v>
      </c>
      <c r="C9" s="1" t="s">
        <v>20</v>
      </c>
      <c r="D9" s="1" t="s">
        <v>22</v>
      </c>
      <c r="E9" s="1" t="s">
        <v>50</v>
      </c>
      <c r="F9" s="5" t="str">
        <f>_xlfn.CONCAT(C9, " - ", D9, " - ",E9)</f>
        <v>Road - Metro - &lt;$250 mil</v>
      </c>
      <c r="G9" s="168">
        <v>4.8986790424381699E-2</v>
      </c>
      <c r="H9" s="168">
        <v>4.4023502914226756E-2</v>
      </c>
      <c r="I9" s="168">
        <v>1.8877539344674024E-2</v>
      </c>
      <c r="J9" s="168">
        <v>2.650000443439E-2</v>
      </c>
      <c r="K9" s="168">
        <v>2.495396891890125E-2</v>
      </c>
      <c r="L9" s="168">
        <v>1.6634956076004171E-2</v>
      </c>
      <c r="M9" s="168">
        <v>3.4217724553147859E-2</v>
      </c>
      <c r="N9" s="168">
        <v>4.0868547663137335E-2</v>
      </c>
      <c r="O9" s="168">
        <v>4.6487372592186001E-2</v>
      </c>
      <c r="P9" s="168">
        <v>1.5250904005451441E-2</v>
      </c>
      <c r="Q9" s="168">
        <v>1.5086126524654235E-2</v>
      </c>
      <c r="R9" s="168">
        <v>9.4203272716303424E-2</v>
      </c>
      <c r="S9" s="168">
        <v>5.2658767922349921E-2</v>
      </c>
      <c r="T9" s="169">
        <v>3.3320541994267289E-2</v>
      </c>
      <c r="U9" s="169">
        <v>2.7219742776458739E-2</v>
      </c>
      <c r="V9" s="169">
        <v>2.6621115126404481E-2</v>
      </c>
      <c r="W9" s="169">
        <v>3.0995928693291944E-2</v>
      </c>
      <c r="X9" s="169">
        <v>3.0310969879675371E-2</v>
      </c>
      <c r="Y9" s="169">
        <v>2.9803916716245181E-2</v>
      </c>
      <c r="Z9" s="169">
        <v>2.9377790748070554E-2</v>
      </c>
      <c r="AA9" s="169">
        <v>2.8999663687411224E-2</v>
      </c>
      <c r="AB9" s="169">
        <v>2.8654120370719405E-2</v>
      </c>
      <c r="AC9" s="169">
        <v>2.8333162081431749E-2</v>
      </c>
      <c r="AD9" s="170">
        <v>2.9690669653611224E-2</v>
      </c>
      <c r="AE9" s="170">
        <v>2.9033599766775442E-2</v>
      </c>
      <c r="AF9" s="170">
        <v>2.9362082281991331E-2</v>
      </c>
    </row>
    <row r="10" spans="2:32" x14ac:dyDescent="0.3">
      <c r="B10" s="1" t="s">
        <v>49</v>
      </c>
      <c r="C10" s="1" t="s">
        <v>20</v>
      </c>
      <c r="D10" s="1" t="s">
        <v>22</v>
      </c>
      <c r="E10" s="1" t="s">
        <v>51</v>
      </c>
      <c r="F10" s="5" t="str">
        <f t="shared" ref="F10:F81" si="0">_xlfn.CONCAT(C10, " - ", D10, " - ",E10)</f>
        <v>Road - Metro - $250 mil-$500 mil</v>
      </c>
      <c r="G10" s="168">
        <v>4.8986790424381699E-2</v>
      </c>
      <c r="H10" s="168">
        <v>4.4023502914226756E-2</v>
      </c>
      <c r="I10" s="168">
        <v>1.8877539344674024E-2</v>
      </c>
      <c r="J10" s="168">
        <v>2.650000443439E-2</v>
      </c>
      <c r="K10" s="168">
        <v>2.495396891890125E-2</v>
      </c>
      <c r="L10" s="168">
        <v>1.6634956076004171E-2</v>
      </c>
      <c r="M10" s="168">
        <v>3.4217724553147859E-2</v>
      </c>
      <c r="N10" s="168">
        <v>4.0868547663137335E-2</v>
      </c>
      <c r="O10" s="168">
        <v>4.6487372592186001E-2</v>
      </c>
      <c r="P10" s="168">
        <v>1.5250904005451441E-2</v>
      </c>
      <c r="Q10" s="168">
        <v>1.5086126524654235E-2</v>
      </c>
      <c r="R10" s="168">
        <v>9.4203272716303424E-2</v>
      </c>
      <c r="S10" s="168">
        <v>5.2658767922349921E-2</v>
      </c>
      <c r="T10" s="169">
        <v>3.3320541994267289E-2</v>
      </c>
      <c r="U10" s="169">
        <v>2.7219742776458739E-2</v>
      </c>
      <c r="V10" s="169">
        <v>2.6621115126404481E-2</v>
      </c>
      <c r="W10" s="169">
        <v>3.0995928693291944E-2</v>
      </c>
      <c r="X10" s="169">
        <v>3.0310969879675371E-2</v>
      </c>
      <c r="Y10" s="169">
        <v>2.9803916716245181E-2</v>
      </c>
      <c r="Z10" s="169">
        <v>2.9377790748070554E-2</v>
      </c>
      <c r="AA10" s="169">
        <v>2.8999663687411224E-2</v>
      </c>
      <c r="AB10" s="169">
        <v>2.8654120370719405E-2</v>
      </c>
      <c r="AC10" s="169">
        <v>2.8333162081431749E-2</v>
      </c>
      <c r="AD10" s="170">
        <v>2.9690669653611224E-2</v>
      </c>
      <c r="AE10" s="170">
        <v>2.9033599766775442E-2</v>
      </c>
      <c r="AF10" s="170">
        <v>2.9362082281991331E-2</v>
      </c>
    </row>
    <row r="11" spans="2:32" x14ac:dyDescent="0.3">
      <c r="B11" s="1" t="s">
        <v>49</v>
      </c>
      <c r="C11" s="1" t="s">
        <v>20</v>
      </c>
      <c r="D11" s="1" t="s">
        <v>22</v>
      </c>
      <c r="E11" s="1" t="s">
        <v>23</v>
      </c>
      <c r="F11" s="5" t="str">
        <f t="shared" si="0"/>
        <v>Road - Metro - $500 mil-$1 bn</v>
      </c>
      <c r="G11" s="168">
        <v>4.8986790424381699E-2</v>
      </c>
      <c r="H11" s="168">
        <v>4.4023502914226756E-2</v>
      </c>
      <c r="I11" s="168">
        <v>1.8877539344674024E-2</v>
      </c>
      <c r="J11" s="168">
        <v>2.650000443439E-2</v>
      </c>
      <c r="K11" s="168">
        <v>2.495396891890125E-2</v>
      </c>
      <c r="L11" s="168">
        <v>1.6634956076004171E-2</v>
      </c>
      <c r="M11" s="168">
        <v>3.4217724553147859E-2</v>
      </c>
      <c r="N11" s="168">
        <v>4.0868547663137335E-2</v>
      </c>
      <c r="O11" s="168">
        <v>4.6487372592186001E-2</v>
      </c>
      <c r="P11" s="168">
        <v>1.5250904005451441E-2</v>
      </c>
      <c r="Q11" s="168">
        <v>1.5086126524654235E-2</v>
      </c>
      <c r="R11" s="168">
        <v>9.4203272716303424E-2</v>
      </c>
      <c r="S11" s="168">
        <v>5.2658767922349921E-2</v>
      </c>
      <c r="T11" s="169">
        <v>3.3320541994267289E-2</v>
      </c>
      <c r="U11" s="169">
        <v>2.7219742776458739E-2</v>
      </c>
      <c r="V11" s="169">
        <v>2.6621115126404481E-2</v>
      </c>
      <c r="W11" s="169">
        <v>3.0995928693291944E-2</v>
      </c>
      <c r="X11" s="169">
        <v>3.0310969879675371E-2</v>
      </c>
      <c r="Y11" s="169">
        <v>2.9803916716245181E-2</v>
      </c>
      <c r="Z11" s="169">
        <v>2.9377790748070554E-2</v>
      </c>
      <c r="AA11" s="169">
        <v>2.8999663687411224E-2</v>
      </c>
      <c r="AB11" s="169">
        <v>2.8654120370719405E-2</v>
      </c>
      <c r="AC11" s="169">
        <v>2.8333162081431749E-2</v>
      </c>
      <c r="AD11" s="170">
        <v>2.9690669653611224E-2</v>
      </c>
      <c r="AE11" s="170">
        <v>2.9033599766775442E-2</v>
      </c>
      <c r="AF11" s="170">
        <v>2.9362082281991331E-2</v>
      </c>
    </row>
    <row r="12" spans="2:32" x14ac:dyDescent="0.3">
      <c r="B12" s="1" t="s">
        <v>49</v>
      </c>
      <c r="C12" s="1" t="s">
        <v>20</v>
      </c>
      <c r="D12" s="1" t="s">
        <v>22</v>
      </c>
      <c r="E12" s="1" t="s">
        <v>52</v>
      </c>
      <c r="F12" s="5" t="str">
        <f t="shared" si="0"/>
        <v>Road - Metro - $1 bn-$5 bn</v>
      </c>
      <c r="G12" s="168">
        <v>4.8986790424381699E-2</v>
      </c>
      <c r="H12" s="168">
        <v>4.4023502914226756E-2</v>
      </c>
      <c r="I12" s="168">
        <v>1.8877539344674024E-2</v>
      </c>
      <c r="J12" s="168">
        <v>2.650000443439E-2</v>
      </c>
      <c r="K12" s="168">
        <v>2.495396891890125E-2</v>
      </c>
      <c r="L12" s="168">
        <v>1.6634956076004171E-2</v>
      </c>
      <c r="M12" s="168">
        <v>3.4217724553147859E-2</v>
      </c>
      <c r="N12" s="168">
        <v>4.0868547663137335E-2</v>
      </c>
      <c r="O12" s="168">
        <v>4.6487372592186001E-2</v>
      </c>
      <c r="P12" s="168">
        <v>1.5250904005451441E-2</v>
      </c>
      <c r="Q12" s="168">
        <v>1.5086126524654235E-2</v>
      </c>
      <c r="R12" s="168">
        <v>9.4203272716303424E-2</v>
      </c>
      <c r="S12" s="168">
        <v>5.2658767922349921E-2</v>
      </c>
      <c r="T12" s="169">
        <v>3.3320541994267289E-2</v>
      </c>
      <c r="U12" s="169">
        <v>2.7219742776458739E-2</v>
      </c>
      <c r="V12" s="169">
        <v>2.6621115126404481E-2</v>
      </c>
      <c r="W12" s="169">
        <v>3.0995928693291944E-2</v>
      </c>
      <c r="X12" s="169">
        <v>3.0310969879675371E-2</v>
      </c>
      <c r="Y12" s="169">
        <v>2.9803916716245181E-2</v>
      </c>
      <c r="Z12" s="169">
        <v>2.9377790748070554E-2</v>
      </c>
      <c r="AA12" s="169">
        <v>2.8999663687411224E-2</v>
      </c>
      <c r="AB12" s="169">
        <v>2.8654120370719405E-2</v>
      </c>
      <c r="AC12" s="169">
        <v>2.8333162081431749E-2</v>
      </c>
      <c r="AD12" s="170">
        <v>2.9690669653611224E-2</v>
      </c>
      <c r="AE12" s="170">
        <v>2.9033599766775442E-2</v>
      </c>
      <c r="AF12" s="170">
        <v>2.9362082281991331E-2</v>
      </c>
    </row>
    <row r="13" spans="2:32" x14ac:dyDescent="0.3">
      <c r="B13" s="1" t="s">
        <v>49</v>
      </c>
      <c r="C13" s="1" t="s">
        <v>20</v>
      </c>
      <c r="D13" s="1" t="s">
        <v>22</v>
      </c>
      <c r="E13" s="1" t="s">
        <v>28</v>
      </c>
      <c r="F13" s="5" t="str">
        <f t="shared" si="0"/>
        <v>Road - Metro - &gt;$5 bn</v>
      </c>
      <c r="G13" s="168">
        <v>4.8986790424381699E-2</v>
      </c>
      <c r="H13" s="168">
        <v>4.4023502914226756E-2</v>
      </c>
      <c r="I13" s="168">
        <v>1.8877539344674024E-2</v>
      </c>
      <c r="J13" s="168">
        <v>2.650000443439E-2</v>
      </c>
      <c r="K13" s="168">
        <v>2.495396891890125E-2</v>
      </c>
      <c r="L13" s="168">
        <v>1.6634956076004171E-2</v>
      </c>
      <c r="M13" s="168">
        <v>3.4217724553147859E-2</v>
      </c>
      <c r="N13" s="168">
        <v>4.0868547663137335E-2</v>
      </c>
      <c r="O13" s="168">
        <v>4.6487372592186001E-2</v>
      </c>
      <c r="P13" s="168">
        <v>1.5250904005451441E-2</v>
      </c>
      <c r="Q13" s="168">
        <v>1.5086126524654235E-2</v>
      </c>
      <c r="R13" s="168">
        <v>9.4203272716303424E-2</v>
      </c>
      <c r="S13" s="168">
        <v>5.2658767922349921E-2</v>
      </c>
      <c r="T13" s="169">
        <v>3.3320541994267289E-2</v>
      </c>
      <c r="U13" s="169">
        <v>2.7219742776458739E-2</v>
      </c>
      <c r="V13" s="169">
        <v>2.6621115126404481E-2</v>
      </c>
      <c r="W13" s="169">
        <v>3.0995928693291944E-2</v>
      </c>
      <c r="X13" s="169">
        <v>3.0310969879675371E-2</v>
      </c>
      <c r="Y13" s="169">
        <v>2.9803916716245181E-2</v>
      </c>
      <c r="Z13" s="169">
        <v>2.9377790748070554E-2</v>
      </c>
      <c r="AA13" s="169">
        <v>2.8999663687411224E-2</v>
      </c>
      <c r="AB13" s="169">
        <v>2.8654120370719405E-2</v>
      </c>
      <c r="AC13" s="169">
        <v>2.8333162081431749E-2</v>
      </c>
      <c r="AD13" s="170">
        <v>2.9690669653611224E-2</v>
      </c>
      <c r="AE13" s="170">
        <v>2.9033599766775442E-2</v>
      </c>
      <c r="AF13" s="170">
        <v>2.9362082281991331E-2</v>
      </c>
    </row>
    <row r="14" spans="2:32" x14ac:dyDescent="0.3">
      <c r="B14" s="1" t="s">
        <v>49</v>
      </c>
      <c r="C14" s="1" t="s">
        <v>20</v>
      </c>
      <c r="D14" s="1" t="s">
        <v>53</v>
      </c>
      <c r="E14" s="1" t="s">
        <v>50</v>
      </c>
      <c r="F14" s="5" t="str">
        <f t="shared" si="0"/>
        <v>Road - Regional - &lt;$250 mil</v>
      </c>
      <c r="G14" s="168">
        <v>5.0408346171176982E-2</v>
      </c>
      <c r="H14" s="168">
        <v>4.3240064086810942E-2</v>
      </c>
      <c r="I14" s="168">
        <v>2.1495918709260129E-2</v>
      </c>
      <c r="J14" s="168">
        <v>2.6715715638700861E-2</v>
      </c>
      <c r="K14" s="168">
        <v>2.6719221593780651E-2</v>
      </c>
      <c r="L14" s="168">
        <v>1.947558476397477E-2</v>
      </c>
      <c r="M14" s="168">
        <v>3.4522376960446716E-2</v>
      </c>
      <c r="N14" s="168">
        <v>3.9965818345855171E-2</v>
      </c>
      <c r="O14" s="168">
        <v>4.9249953547637622E-2</v>
      </c>
      <c r="P14" s="168">
        <v>1.690913757772998E-2</v>
      </c>
      <c r="Q14" s="168">
        <v>1.8769040352773554E-2</v>
      </c>
      <c r="R14" s="168">
        <v>9.3506315368340212E-2</v>
      </c>
      <c r="S14" s="168">
        <v>5.0364577932753139E-2</v>
      </c>
      <c r="T14" s="169">
        <v>3.3203823037087916E-2</v>
      </c>
      <c r="U14" s="169">
        <v>2.7037171079822252E-2</v>
      </c>
      <c r="V14" s="169">
        <v>2.7891482046101243E-2</v>
      </c>
      <c r="W14" s="169">
        <v>3.1655432808461344E-2</v>
      </c>
      <c r="X14" s="169">
        <v>3.09926631472324E-2</v>
      </c>
      <c r="Y14" s="169">
        <v>3.0501944132748759E-2</v>
      </c>
      <c r="Z14" s="169">
        <v>3.0086250747330803E-2</v>
      </c>
      <c r="AA14" s="169">
        <v>2.971508271603919E-2</v>
      </c>
      <c r="AB14" s="169">
        <v>2.9374219111808215E-2</v>
      </c>
      <c r="AC14" s="169">
        <v>2.9056380916260446E-2</v>
      </c>
      <c r="AD14" s="170">
        <v>3.0153483851452112E-2</v>
      </c>
      <c r="AE14" s="170">
        <v>2.9746649094426258E-2</v>
      </c>
      <c r="AF14" s="170">
        <v>2.9950046385251561E-2</v>
      </c>
    </row>
    <row r="15" spans="2:32" x14ac:dyDescent="0.3">
      <c r="B15" s="1" t="s">
        <v>49</v>
      </c>
      <c r="C15" s="1" t="s">
        <v>20</v>
      </c>
      <c r="D15" s="1" t="s">
        <v>53</v>
      </c>
      <c r="E15" s="1" t="s">
        <v>51</v>
      </c>
      <c r="F15" s="5" t="str">
        <f t="shared" si="0"/>
        <v>Road - Regional - $250 mil-$500 mil</v>
      </c>
      <c r="G15" s="168">
        <v>5.0408346171176982E-2</v>
      </c>
      <c r="H15" s="168">
        <v>4.3240064086810942E-2</v>
      </c>
      <c r="I15" s="168">
        <v>2.1495918709260129E-2</v>
      </c>
      <c r="J15" s="168">
        <v>2.6715715638700861E-2</v>
      </c>
      <c r="K15" s="168">
        <v>2.6719221593780651E-2</v>
      </c>
      <c r="L15" s="168">
        <v>1.947558476397477E-2</v>
      </c>
      <c r="M15" s="168">
        <v>3.4522376960446716E-2</v>
      </c>
      <c r="N15" s="168">
        <v>3.9965818345855171E-2</v>
      </c>
      <c r="O15" s="168">
        <v>4.9249953547637622E-2</v>
      </c>
      <c r="P15" s="168">
        <v>1.690913757772998E-2</v>
      </c>
      <c r="Q15" s="168">
        <v>1.8769040352773554E-2</v>
      </c>
      <c r="R15" s="168">
        <v>9.3506315368340212E-2</v>
      </c>
      <c r="S15" s="168">
        <v>5.0364577932753139E-2</v>
      </c>
      <c r="T15" s="169">
        <v>3.3203823037087916E-2</v>
      </c>
      <c r="U15" s="169">
        <v>2.7037171079822252E-2</v>
      </c>
      <c r="V15" s="169">
        <v>2.7891482046101243E-2</v>
      </c>
      <c r="W15" s="169">
        <v>3.1655432808461344E-2</v>
      </c>
      <c r="X15" s="169">
        <v>3.09926631472324E-2</v>
      </c>
      <c r="Y15" s="169">
        <v>3.0501944132748759E-2</v>
      </c>
      <c r="Z15" s="169">
        <v>3.0086250747330803E-2</v>
      </c>
      <c r="AA15" s="169">
        <v>2.971508271603919E-2</v>
      </c>
      <c r="AB15" s="169">
        <v>2.9374219111808215E-2</v>
      </c>
      <c r="AC15" s="169">
        <v>2.9056380916260446E-2</v>
      </c>
      <c r="AD15" s="170">
        <v>3.0153483851452112E-2</v>
      </c>
      <c r="AE15" s="170">
        <v>2.9746649094426258E-2</v>
      </c>
      <c r="AF15" s="170">
        <v>2.9950046385251561E-2</v>
      </c>
    </row>
    <row r="16" spans="2:32" x14ac:dyDescent="0.3">
      <c r="B16" s="1" t="s">
        <v>49</v>
      </c>
      <c r="C16" s="1" t="s">
        <v>20</v>
      </c>
      <c r="D16" s="1" t="s">
        <v>53</v>
      </c>
      <c r="E16" s="1" t="s">
        <v>23</v>
      </c>
      <c r="F16" s="5" t="str">
        <f t="shared" si="0"/>
        <v>Road - Regional - $500 mil-$1 bn</v>
      </c>
      <c r="G16" s="168">
        <v>5.0408346171176982E-2</v>
      </c>
      <c r="H16" s="168">
        <v>4.3240064086810942E-2</v>
      </c>
      <c r="I16" s="168">
        <v>2.1495918709260129E-2</v>
      </c>
      <c r="J16" s="168">
        <v>2.6715715638700861E-2</v>
      </c>
      <c r="K16" s="168">
        <v>2.6719221593780651E-2</v>
      </c>
      <c r="L16" s="168">
        <v>1.947558476397477E-2</v>
      </c>
      <c r="M16" s="168">
        <v>3.4522376960446716E-2</v>
      </c>
      <c r="N16" s="168">
        <v>3.9965818345855171E-2</v>
      </c>
      <c r="O16" s="168">
        <v>4.9249953547637622E-2</v>
      </c>
      <c r="P16" s="168">
        <v>1.690913757772998E-2</v>
      </c>
      <c r="Q16" s="168">
        <v>1.8769040352773554E-2</v>
      </c>
      <c r="R16" s="168">
        <v>9.3506315368340212E-2</v>
      </c>
      <c r="S16" s="168">
        <v>5.0364577932753139E-2</v>
      </c>
      <c r="T16" s="169">
        <v>3.3203823037087916E-2</v>
      </c>
      <c r="U16" s="169">
        <v>2.7037171079822252E-2</v>
      </c>
      <c r="V16" s="169">
        <v>2.7891482046101243E-2</v>
      </c>
      <c r="W16" s="169">
        <v>3.1655432808461344E-2</v>
      </c>
      <c r="X16" s="169">
        <v>3.09926631472324E-2</v>
      </c>
      <c r="Y16" s="169">
        <v>3.0501944132748759E-2</v>
      </c>
      <c r="Z16" s="169">
        <v>3.0086250747330803E-2</v>
      </c>
      <c r="AA16" s="169">
        <v>2.971508271603919E-2</v>
      </c>
      <c r="AB16" s="169">
        <v>2.9374219111808215E-2</v>
      </c>
      <c r="AC16" s="169">
        <v>2.9056380916260446E-2</v>
      </c>
      <c r="AD16" s="170">
        <v>3.0153483851452112E-2</v>
      </c>
      <c r="AE16" s="170">
        <v>2.9746649094426258E-2</v>
      </c>
      <c r="AF16" s="170">
        <v>2.9950046385251561E-2</v>
      </c>
    </row>
    <row r="17" spans="2:32" x14ac:dyDescent="0.3">
      <c r="B17" s="1" t="s">
        <v>49</v>
      </c>
      <c r="C17" s="1" t="s">
        <v>20</v>
      </c>
      <c r="D17" s="1" t="s">
        <v>53</v>
      </c>
      <c r="E17" s="1" t="s">
        <v>52</v>
      </c>
      <c r="F17" s="5" t="str">
        <f t="shared" si="0"/>
        <v>Road - Regional - $1 bn-$5 bn</v>
      </c>
      <c r="G17" s="168">
        <v>5.0408346171176982E-2</v>
      </c>
      <c r="H17" s="168">
        <v>4.3240064086810942E-2</v>
      </c>
      <c r="I17" s="168">
        <v>2.1495918709260129E-2</v>
      </c>
      <c r="J17" s="168">
        <v>2.6715715638700861E-2</v>
      </c>
      <c r="K17" s="168">
        <v>2.6719221593780651E-2</v>
      </c>
      <c r="L17" s="168">
        <v>1.947558476397477E-2</v>
      </c>
      <c r="M17" s="168">
        <v>3.4522376960446716E-2</v>
      </c>
      <c r="N17" s="168">
        <v>3.9965818345855171E-2</v>
      </c>
      <c r="O17" s="168">
        <v>4.9249953547637622E-2</v>
      </c>
      <c r="P17" s="168">
        <v>1.690913757772998E-2</v>
      </c>
      <c r="Q17" s="168">
        <v>1.8769040352773554E-2</v>
      </c>
      <c r="R17" s="168">
        <v>9.3506315368340212E-2</v>
      </c>
      <c r="S17" s="168">
        <v>5.0364577932753139E-2</v>
      </c>
      <c r="T17" s="169">
        <v>3.3203823037087916E-2</v>
      </c>
      <c r="U17" s="169">
        <v>2.7037171079822252E-2</v>
      </c>
      <c r="V17" s="169">
        <v>2.7891482046101243E-2</v>
      </c>
      <c r="W17" s="169">
        <v>3.1655432808461344E-2</v>
      </c>
      <c r="X17" s="169">
        <v>3.09926631472324E-2</v>
      </c>
      <c r="Y17" s="169">
        <v>3.0501944132748759E-2</v>
      </c>
      <c r="Z17" s="169">
        <v>3.0086250747330803E-2</v>
      </c>
      <c r="AA17" s="169">
        <v>2.971508271603919E-2</v>
      </c>
      <c r="AB17" s="169">
        <v>2.9374219111808215E-2</v>
      </c>
      <c r="AC17" s="169">
        <v>2.9056380916260446E-2</v>
      </c>
      <c r="AD17" s="170">
        <v>3.0153483851452112E-2</v>
      </c>
      <c r="AE17" s="170">
        <v>2.9746649094426258E-2</v>
      </c>
      <c r="AF17" s="170">
        <v>2.9950046385251561E-2</v>
      </c>
    </row>
    <row r="18" spans="2:32" x14ac:dyDescent="0.3">
      <c r="B18" s="1" t="s">
        <v>49</v>
      </c>
      <c r="C18" s="1" t="s">
        <v>20</v>
      </c>
      <c r="D18" s="1" t="s">
        <v>53</v>
      </c>
      <c r="E18" s="1" t="s">
        <v>28</v>
      </c>
      <c r="F18" s="5" t="str">
        <f t="shared" si="0"/>
        <v>Road - Regional - &gt;$5 bn</v>
      </c>
      <c r="G18" s="168">
        <v>5.0408346171176982E-2</v>
      </c>
      <c r="H18" s="168">
        <v>4.3240064086810942E-2</v>
      </c>
      <c r="I18" s="168">
        <v>2.1495918709260129E-2</v>
      </c>
      <c r="J18" s="168">
        <v>2.6715715638700861E-2</v>
      </c>
      <c r="K18" s="168">
        <v>2.6719221593780651E-2</v>
      </c>
      <c r="L18" s="168">
        <v>1.947558476397477E-2</v>
      </c>
      <c r="M18" s="168">
        <v>3.4522376960446716E-2</v>
      </c>
      <c r="N18" s="168">
        <v>3.9965818345855171E-2</v>
      </c>
      <c r="O18" s="168">
        <v>4.9249953547637622E-2</v>
      </c>
      <c r="P18" s="168">
        <v>1.690913757772998E-2</v>
      </c>
      <c r="Q18" s="168">
        <v>1.8769040352773554E-2</v>
      </c>
      <c r="R18" s="168">
        <v>9.3506315368340212E-2</v>
      </c>
      <c r="S18" s="168">
        <v>5.0364577932753139E-2</v>
      </c>
      <c r="T18" s="169">
        <v>3.3203823037087916E-2</v>
      </c>
      <c r="U18" s="169">
        <v>2.7037171079822252E-2</v>
      </c>
      <c r="V18" s="169">
        <v>2.7891482046101243E-2</v>
      </c>
      <c r="W18" s="169">
        <v>3.1655432808461344E-2</v>
      </c>
      <c r="X18" s="169">
        <v>3.09926631472324E-2</v>
      </c>
      <c r="Y18" s="169">
        <v>3.0501944132748759E-2</v>
      </c>
      <c r="Z18" s="169">
        <v>3.0086250747330803E-2</v>
      </c>
      <c r="AA18" s="169">
        <v>2.971508271603919E-2</v>
      </c>
      <c r="AB18" s="169">
        <v>2.9374219111808215E-2</v>
      </c>
      <c r="AC18" s="169">
        <v>2.9056380916260446E-2</v>
      </c>
      <c r="AD18" s="170">
        <v>3.0153483851452112E-2</v>
      </c>
      <c r="AE18" s="170">
        <v>2.9746649094426258E-2</v>
      </c>
      <c r="AF18" s="170">
        <v>2.9950046385251561E-2</v>
      </c>
    </row>
    <row r="19" spans="2:32" x14ac:dyDescent="0.3">
      <c r="B19" s="1" t="s">
        <v>49</v>
      </c>
      <c r="C19" s="1" t="s">
        <v>54</v>
      </c>
      <c r="D19" s="1" t="s">
        <v>22</v>
      </c>
      <c r="E19" s="1" t="s">
        <v>50</v>
      </c>
      <c r="F19" s="5" t="str">
        <f t="shared" si="0"/>
        <v>Bridge - Metro - &lt;$250 mil</v>
      </c>
      <c r="G19" s="168">
        <v>3.3406373384813344E-2</v>
      </c>
      <c r="H19" s="168">
        <v>3.0975960189947287E-2</v>
      </c>
      <c r="I19" s="168">
        <v>2.631368604163789E-2</v>
      </c>
      <c r="J19" s="168">
        <v>2.1360533843452354E-2</v>
      </c>
      <c r="K19" s="168">
        <v>4.0438830282569053E-2</v>
      </c>
      <c r="L19" s="168">
        <v>2.5407021549983179E-2</v>
      </c>
      <c r="M19" s="168">
        <v>3.3529000026985133E-2</v>
      </c>
      <c r="N19" s="168">
        <v>3.3326508595360488E-2</v>
      </c>
      <c r="O19" s="168">
        <v>3.9123258771401451E-2</v>
      </c>
      <c r="P19" s="168">
        <v>1.785235433003771E-2</v>
      </c>
      <c r="Q19" s="168">
        <v>1.8922926162433493E-2</v>
      </c>
      <c r="R19" s="168">
        <v>9.9924784950387549E-2</v>
      </c>
      <c r="S19" s="168">
        <v>5.9773465345041209E-2</v>
      </c>
      <c r="T19" s="169">
        <v>2.4999171153124809E-2</v>
      </c>
      <c r="U19" s="169">
        <v>2.9482929086107269E-2</v>
      </c>
      <c r="V19" s="169">
        <v>3.2303559138058408E-2</v>
      </c>
      <c r="W19" s="169">
        <v>3.3458816843306025E-2</v>
      </c>
      <c r="X19" s="169">
        <v>3.2158183034312476E-2</v>
      </c>
      <c r="Y19" s="169">
        <v>3.1293420983798607E-2</v>
      </c>
      <c r="Z19" s="169">
        <v>3.0625812487217973E-2</v>
      </c>
      <c r="AA19" s="169">
        <v>3.0071523288424645E-2</v>
      </c>
      <c r="AB19" s="169">
        <v>2.9590068099169906E-2</v>
      </c>
      <c r="AC19" s="169">
        <v>2.9160118152722268E-2</v>
      </c>
      <c r="AD19" s="170">
        <v>3.0476055090520315E-2</v>
      </c>
      <c r="AE19" s="170">
        <v>3.0147913589744002E-2</v>
      </c>
      <c r="AF19" s="170">
        <v>3.0311971276510752E-2</v>
      </c>
    </row>
    <row r="20" spans="2:32" x14ac:dyDescent="0.3">
      <c r="B20" s="1" t="s">
        <v>49</v>
      </c>
      <c r="C20" s="1" t="s">
        <v>54</v>
      </c>
      <c r="D20" s="1" t="s">
        <v>22</v>
      </c>
      <c r="E20" s="1" t="s">
        <v>51</v>
      </c>
      <c r="F20" s="5" t="str">
        <f t="shared" si="0"/>
        <v>Bridge - Metro - $250 mil-$500 mil</v>
      </c>
      <c r="G20" s="168">
        <v>3.3406373384813344E-2</v>
      </c>
      <c r="H20" s="168">
        <v>3.0975960189947287E-2</v>
      </c>
      <c r="I20" s="168">
        <v>2.631368604163789E-2</v>
      </c>
      <c r="J20" s="168">
        <v>2.1360533843452354E-2</v>
      </c>
      <c r="K20" s="168">
        <v>4.0438830282569053E-2</v>
      </c>
      <c r="L20" s="168">
        <v>2.5407021549983179E-2</v>
      </c>
      <c r="M20" s="168">
        <v>3.3529000026985133E-2</v>
      </c>
      <c r="N20" s="168">
        <v>3.3326508595360488E-2</v>
      </c>
      <c r="O20" s="168">
        <v>3.9123258771401451E-2</v>
      </c>
      <c r="P20" s="168">
        <v>1.785235433003771E-2</v>
      </c>
      <c r="Q20" s="168">
        <v>1.8922926162433493E-2</v>
      </c>
      <c r="R20" s="168">
        <v>9.9924784950387549E-2</v>
      </c>
      <c r="S20" s="168">
        <v>5.9773465345041209E-2</v>
      </c>
      <c r="T20" s="169">
        <v>2.4999171153124809E-2</v>
      </c>
      <c r="U20" s="169">
        <v>2.9482929086107269E-2</v>
      </c>
      <c r="V20" s="169">
        <v>3.2303559138058408E-2</v>
      </c>
      <c r="W20" s="169">
        <v>3.3458816843306025E-2</v>
      </c>
      <c r="X20" s="169">
        <v>3.2158183034312476E-2</v>
      </c>
      <c r="Y20" s="169">
        <v>3.1293420983798607E-2</v>
      </c>
      <c r="Z20" s="169">
        <v>3.0625812487217973E-2</v>
      </c>
      <c r="AA20" s="169">
        <v>3.0071523288424645E-2</v>
      </c>
      <c r="AB20" s="169">
        <v>2.9590068099169906E-2</v>
      </c>
      <c r="AC20" s="169">
        <v>2.9160118152722268E-2</v>
      </c>
      <c r="AD20" s="170">
        <v>3.0476055090520315E-2</v>
      </c>
      <c r="AE20" s="170">
        <v>3.0147913589744002E-2</v>
      </c>
      <c r="AF20" s="170">
        <v>3.0311971276510752E-2</v>
      </c>
    </row>
    <row r="21" spans="2:32" x14ac:dyDescent="0.3">
      <c r="B21" s="1" t="s">
        <v>49</v>
      </c>
      <c r="C21" s="1" t="s">
        <v>54</v>
      </c>
      <c r="D21" s="1" t="s">
        <v>22</v>
      </c>
      <c r="E21" s="1" t="s">
        <v>23</v>
      </c>
      <c r="F21" s="5" t="str">
        <f t="shared" si="0"/>
        <v>Bridge - Metro - $500 mil-$1 bn</v>
      </c>
      <c r="G21" s="168">
        <v>3.3406373384813344E-2</v>
      </c>
      <c r="H21" s="168">
        <v>3.0975960189947287E-2</v>
      </c>
      <c r="I21" s="168">
        <v>2.631368604163789E-2</v>
      </c>
      <c r="J21" s="168">
        <v>2.1360533843452354E-2</v>
      </c>
      <c r="K21" s="168">
        <v>4.0438830282569053E-2</v>
      </c>
      <c r="L21" s="168">
        <v>2.5407021549983179E-2</v>
      </c>
      <c r="M21" s="168">
        <v>3.3529000026985133E-2</v>
      </c>
      <c r="N21" s="168">
        <v>3.3326508595360488E-2</v>
      </c>
      <c r="O21" s="168">
        <v>3.9123258771401451E-2</v>
      </c>
      <c r="P21" s="168">
        <v>1.785235433003771E-2</v>
      </c>
      <c r="Q21" s="168">
        <v>1.8922926162433493E-2</v>
      </c>
      <c r="R21" s="168">
        <v>9.9924784950387549E-2</v>
      </c>
      <c r="S21" s="168">
        <v>5.9773465345041209E-2</v>
      </c>
      <c r="T21" s="169">
        <v>2.4999171153124809E-2</v>
      </c>
      <c r="U21" s="169">
        <v>2.9482929086107269E-2</v>
      </c>
      <c r="V21" s="169">
        <v>3.2303559138058408E-2</v>
      </c>
      <c r="W21" s="169">
        <v>3.3458816843306025E-2</v>
      </c>
      <c r="X21" s="169">
        <v>3.2158183034312476E-2</v>
      </c>
      <c r="Y21" s="169">
        <v>3.1293420983798607E-2</v>
      </c>
      <c r="Z21" s="169">
        <v>3.0625812487217973E-2</v>
      </c>
      <c r="AA21" s="169">
        <v>3.0071523288424645E-2</v>
      </c>
      <c r="AB21" s="169">
        <v>2.9590068099169906E-2</v>
      </c>
      <c r="AC21" s="169">
        <v>2.9160118152722268E-2</v>
      </c>
      <c r="AD21" s="170">
        <v>3.0476055090520315E-2</v>
      </c>
      <c r="AE21" s="170">
        <v>3.0147913589744002E-2</v>
      </c>
      <c r="AF21" s="170">
        <v>3.0311971276510752E-2</v>
      </c>
    </row>
    <row r="22" spans="2:32" x14ac:dyDescent="0.3">
      <c r="B22" s="1" t="s">
        <v>49</v>
      </c>
      <c r="C22" s="1" t="s">
        <v>54</v>
      </c>
      <c r="D22" s="1" t="s">
        <v>22</v>
      </c>
      <c r="E22" s="1" t="s">
        <v>52</v>
      </c>
      <c r="F22" s="5" t="str">
        <f t="shared" si="0"/>
        <v>Bridge - Metro - $1 bn-$5 bn</v>
      </c>
      <c r="G22" s="168">
        <v>3.3406373384813344E-2</v>
      </c>
      <c r="H22" s="168">
        <v>3.0975960189947287E-2</v>
      </c>
      <c r="I22" s="168">
        <v>2.631368604163789E-2</v>
      </c>
      <c r="J22" s="168">
        <v>2.1360533843452354E-2</v>
      </c>
      <c r="K22" s="168">
        <v>4.0438830282569053E-2</v>
      </c>
      <c r="L22" s="168">
        <v>2.5407021549983179E-2</v>
      </c>
      <c r="M22" s="168">
        <v>3.3529000026985133E-2</v>
      </c>
      <c r="N22" s="168">
        <v>3.3326508595360488E-2</v>
      </c>
      <c r="O22" s="168">
        <v>3.9123258771401451E-2</v>
      </c>
      <c r="P22" s="168">
        <v>1.785235433003771E-2</v>
      </c>
      <c r="Q22" s="168">
        <v>1.8922926162433493E-2</v>
      </c>
      <c r="R22" s="168">
        <v>9.9924784950387549E-2</v>
      </c>
      <c r="S22" s="168">
        <v>5.9773465345041209E-2</v>
      </c>
      <c r="T22" s="169">
        <v>2.4999171153124809E-2</v>
      </c>
      <c r="U22" s="169">
        <v>2.9482929086107269E-2</v>
      </c>
      <c r="V22" s="169">
        <v>3.2303559138058408E-2</v>
      </c>
      <c r="W22" s="169">
        <v>3.3458816843306025E-2</v>
      </c>
      <c r="X22" s="169">
        <v>3.2158183034312476E-2</v>
      </c>
      <c r="Y22" s="169">
        <v>3.1293420983798607E-2</v>
      </c>
      <c r="Z22" s="169">
        <v>3.0625812487217973E-2</v>
      </c>
      <c r="AA22" s="169">
        <v>3.0071523288424645E-2</v>
      </c>
      <c r="AB22" s="169">
        <v>2.9590068099169906E-2</v>
      </c>
      <c r="AC22" s="169">
        <v>2.9160118152722268E-2</v>
      </c>
      <c r="AD22" s="170">
        <v>3.0476055090520315E-2</v>
      </c>
      <c r="AE22" s="170">
        <v>3.0147913589744002E-2</v>
      </c>
      <c r="AF22" s="170">
        <v>3.0311971276510752E-2</v>
      </c>
    </row>
    <row r="23" spans="2:32" x14ac:dyDescent="0.3">
      <c r="B23" s="1" t="s">
        <v>49</v>
      </c>
      <c r="C23" s="1" t="s">
        <v>54</v>
      </c>
      <c r="D23" s="1" t="s">
        <v>22</v>
      </c>
      <c r="E23" s="1" t="s">
        <v>28</v>
      </c>
      <c r="F23" s="5" t="str">
        <f t="shared" si="0"/>
        <v>Bridge - Metro - &gt;$5 bn</v>
      </c>
      <c r="G23" s="168">
        <v>3.3406373384813344E-2</v>
      </c>
      <c r="H23" s="168">
        <v>3.0975960189947287E-2</v>
      </c>
      <c r="I23" s="168">
        <v>2.631368604163789E-2</v>
      </c>
      <c r="J23" s="168">
        <v>2.1360533843452354E-2</v>
      </c>
      <c r="K23" s="168">
        <v>4.0438830282569053E-2</v>
      </c>
      <c r="L23" s="168">
        <v>2.5407021549983179E-2</v>
      </c>
      <c r="M23" s="168">
        <v>3.3529000026985133E-2</v>
      </c>
      <c r="N23" s="168">
        <v>3.3326508595360488E-2</v>
      </c>
      <c r="O23" s="168">
        <v>3.9123258771401451E-2</v>
      </c>
      <c r="P23" s="168">
        <v>1.785235433003771E-2</v>
      </c>
      <c r="Q23" s="168">
        <v>1.8922926162433493E-2</v>
      </c>
      <c r="R23" s="168">
        <v>9.9924784950387549E-2</v>
      </c>
      <c r="S23" s="168">
        <v>5.9773465345041209E-2</v>
      </c>
      <c r="T23" s="169">
        <v>2.4999171153124809E-2</v>
      </c>
      <c r="U23" s="169">
        <v>2.9482929086107269E-2</v>
      </c>
      <c r="V23" s="169">
        <v>3.2303559138058408E-2</v>
      </c>
      <c r="W23" s="169">
        <v>3.3458816843306025E-2</v>
      </c>
      <c r="X23" s="169">
        <v>3.2158183034312476E-2</v>
      </c>
      <c r="Y23" s="169">
        <v>3.1293420983798607E-2</v>
      </c>
      <c r="Z23" s="169">
        <v>3.0625812487217973E-2</v>
      </c>
      <c r="AA23" s="169">
        <v>3.0071523288424645E-2</v>
      </c>
      <c r="AB23" s="169">
        <v>2.9590068099169906E-2</v>
      </c>
      <c r="AC23" s="169">
        <v>2.9160118152722268E-2</v>
      </c>
      <c r="AD23" s="170">
        <v>3.0476055090520315E-2</v>
      </c>
      <c r="AE23" s="170">
        <v>3.0147913589744002E-2</v>
      </c>
      <c r="AF23" s="170">
        <v>3.0311971276510752E-2</v>
      </c>
    </row>
    <row r="24" spans="2:32" x14ac:dyDescent="0.3">
      <c r="B24" s="1" t="s">
        <v>49</v>
      </c>
      <c r="C24" s="1" t="s">
        <v>54</v>
      </c>
      <c r="D24" s="1" t="s">
        <v>53</v>
      </c>
      <c r="E24" s="1" t="s">
        <v>50</v>
      </c>
      <c r="F24" s="5" t="str">
        <f t="shared" si="0"/>
        <v>Bridge - Regional - &lt;$250 mil</v>
      </c>
      <c r="G24" s="168">
        <v>3.5659301435824166E-2</v>
      </c>
      <c r="H24" s="168">
        <v>3.1699185759928625E-2</v>
      </c>
      <c r="I24" s="168">
        <v>2.7199991470083475E-2</v>
      </c>
      <c r="J24" s="168">
        <v>2.1824454703415111E-2</v>
      </c>
      <c r="K24" s="168">
        <v>3.8856148327217135E-2</v>
      </c>
      <c r="L24" s="168">
        <v>2.5755636317244254E-2</v>
      </c>
      <c r="M24" s="168">
        <v>3.2871629151068692E-2</v>
      </c>
      <c r="N24" s="168">
        <v>3.345802779396459E-2</v>
      </c>
      <c r="O24" s="168">
        <v>3.9865205909980807E-2</v>
      </c>
      <c r="P24" s="168">
        <v>1.8010068429450337E-2</v>
      </c>
      <c r="Q24" s="168">
        <v>1.9677013558636863E-2</v>
      </c>
      <c r="R24" s="168">
        <v>9.5745349269936983E-2</v>
      </c>
      <c r="S24" s="168">
        <v>5.9116203879799066E-2</v>
      </c>
      <c r="T24" s="169">
        <v>2.7202557609631646E-2</v>
      </c>
      <c r="U24" s="169">
        <v>3.014402846119367E-2</v>
      </c>
      <c r="V24" s="169">
        <v>3.2658187876727869E-2</v>
      </c>
      <c r="W24" s="169">
        <v>3.3620637597523789E-2</v>
      </c>
      <c r="X24" s="169">
        <v>3.2340470184113831E-2</v>
      </c>
      <c r="Y24" s="169">
        <v>3.1483076483119182E-2</v>
      </c>
      <c r="Z24" s="169">
        <v>3.0820994893614735E-2</v>
      </c>
      <c r="AA24" s="169">
        <v>3.0271316504120158E-2</v>
      </c>
      <c r="AB24" s="169">
        <v>2.9793981416740511E-2</v>
      </c>
      <c r="AC24" s="169">
        <v>2.9367845296060985E-2</v>
      </c>
      <c r="AD24" s="170">
        <v>3.1190615182513426E-2</v>
      </c>
      <c r="AE24" s="170">
        <v>3.0347172588151006E-2</v>
      </c>
      <c r="AF24" s="170">
        <v>3.0768807615334515E-2</v>
      </c>
    </row>
    <row r="25" spans="2:32" x14ac:dyDescent="0.3">
      <c r="B25" s="1" t="s">
        <v>49</v>
      </c>
      <c r="C25" s="1" t="s">
        <v>54</v>
      </c>
      <c r="D25" s="1" t="s">
        <v>53</v>
      </c>
      <c r="E25" s="1" t="s">
        <v>51</v>
      </c>
      <c r="F25" s="5" t="str">
        <f t="shared" si="0"/>
        <v>Bridge - Regional - $250 mil-$500 mil</v>
      </c>
      <c r="G25" s="168">
        <v>3.5659301435824166E-2</v>
      </c>
      <c r="H25" s="168">
        <v>3.1699185759928625E-2</v>
      </c>
      <c r="I25" s="168">
        <v>2.7199991470083475E-2</v>
      </c>
      <c r="J25" s="168">
        <v>2.1824454703415111E-2</v>
      </c>
      <c r="K25" s="168">
        <v>3.8856148327217135E-2</v>
      </c>
      <c r="L25" s="168">
        <v>2.5755636317244254E-2</v>
      </c>
      <c r="M25" s="168">
        <v>3.2871629151068692E-2</v>
      </c>
      <c r="N25" s="168">
        <v>3.345802779396459E-2</v>
      </c>
      <c r="O25" s="168">
        <v>3.9865205909980807E-2</v>
      </c>
      <c r="P25" s="168">
        <v>1.8010068429450337E-2</v>
      </c>
      <c r="Q25" s="168">
        <v>1.9677013558636863E-2</v>
      </c>
      <c r="R25" s="168">
        <v>9.5745349269936983E-2</v>
      </c>
      <c r="S25" s="168">
        <v>5.9116203879799066E-2</v>
      </c>
      <c r="T25" s="169">
        <v>2.7202557609631646E-2</v>
      </c>
      <c r="U25" s="169">
        <v>3.014402846119367E-2</v>
      </c>
      <c r="V25" s="169">
        <v>3.2658187876727869E-2</v>
      </c>
      <c r="W25" s="169">
        <v>3.3620637597523789E-2</v>
      </c>
      <c r="X25" s="169">
        <v>3.2340470184113831E-2</v>
      </c>
      <c r="Y25" s="169">
        <v>3.1483076483119182E-2</v>
      </c>
      <c r="Z25" s="169">
        <v>3.0820994893614735E-2</v>
      </c>
      <c r="AA25" s="169">
        <v>3.0271316504120158E-2</v>
      </c>
      <c r="AB25" s="169">
        <v>2.9793981416740511E-2</v>
      </c>
      <c r="AC25" s="169">
        <v>2.9367845296060985E-2</v>
      </c>
      <c r="AD25" s="170">
        <v>3.1190615182513426E-2</v>
      </c>
      <c r="AE25" s="170">
        <v>3.0347172588151006E-2</v>
      </c>
      <c r="AF25" s="170">
        <v>3.0768807615334515E-2</v>
      </c>
    </row>
    <row r="26" spans="2:32" x14ac:dyDescent="0.3">
      <c r="B26" s="1" t="s">
        <v>49</v>
      </c>
      <c r="C26" s="1" t="s">
        <v>54</v>
      </c>
      <c r="D26" s="1" t="s">
        <v>53</v>
      </c>
      <c r="E26" s="1" t="s">
        <v>23</v>
      </c>
      <c r="F26" s="5" t="str">
        <f t="shared" si="0"/>
        <v>Bridge - Regional - $500 mil-$1 bn</v>
      </c>
      <c r="G26" s="168">
        <v>3.5659301435824166E-2</v>
      </c>
      <c r="H26" s="168">
        <v>3.1699185759928625E-2</v>
      </c>
      <c r="I26" s="168">
        <v>2.7199991470083475E-2</v>
      </c>
      <c r="J26" s="168">
        <v>2.1824454703415111E-2</v>
      </c>
      <c r="K26" s="168">
        <v>3.8856148327217135E-2</v>
      </c>
      <c r="L26" s="168">
        <v>2.5755636317244254E-2</v>
      </c>
      <c r="M26" s="168">
        <v>3.2871629151068692E-2</v>
      </c>
      <c r="N26" s="168">
        <v>3.345802779396459E-2</v>
      </c>
      <c r="O26" s="168">
        <v>3.9865205909980807E-2</v>
      </c>
      <c r="P26" s="168">
        <v>1.8010068429450337E-2</v>
      </c>
      <c r="Q26" s="168">
        <v>1.9677013558636863E-2</v>
      </c>
      <c r="R26" s="168">
        <v>9.5745349269936983E-2</v>
      </c>
      <c r="S26" s="168">
        <v>5.9116203879799066E-2</v>
      </c>
      <c r="T26" s="169">
        <v>2.7202557609631646E-2</v>
      </c>
      <c r="U26" s="169">
        <v>3.014402846119367E-2</v>
      </c>
      <c r="V26" s="169">
        <v>3.2658187876727869E-2</v>
      </c>
      <c r="W26" s="169">
        <v>3.3620637597523789E-2</v>
      </c>
      <c r="X26" s="169">
        <v>3.2340470184113831E-2</v>
      </c>
      <c r="Y26" s="169">
        <v>3.1483076483119182E-2</v>
      </c>
      <c r="Z26" s="169">
        <v>3.0820994893614735E-2</v>
      </c>
      <c r="AA26" s="169">
        <v>3.0271316504120158E-2</v>
      </c>
      <c r="AB26" s="169">
        <v>2.9793981416740511E-2</v>
      </c>
      <c r="AC26" s="169">
        <v>2.9367845296060985E-2</v>
      </c>
      <c r="AD26" s="170">
        <v>3.1190615182513426E-2</v>
      </c>
      <c r="AE26" s="170">
        <v>3.0347172588151006E-2</v>
      </c>
      <c r="AF26" s="170">
        <v>3.0768807615334515E-2</v>
      </c>
    </row>
    <row r="27" spans="2:32" x14ac:dyDescent="0.3">
      <c r="B27" s="1" t="s">
        <v>49</v>
      </c>
      <c r="C27" s="1" t="s">
        <v>54</v>
      </c>
      <c r="D27" s="1" t="s">
        <v>53</v>
      </c>
      <c r="E27" s="1" t="s">
        <v>52</v>
      </c>
      <c r="F27" s="5" t="str">
        <f t="shared" si="0"/>
        <v>Bridge - Regional - $1 bn-$5 bn</v>
      </c>
      <c r="G27" s="168">
        <v>3.5659301435824166E-2</v>
      </c>
      <c r="H27" s="168">
        <v>3.1699185759928625E-2</v>
      </c>
      <c r="I27" s="168">
        <v>2.7199991470083475E-2</v>
      </c>
      <c r="J27" s="168">
        <v>2.1824454703415111E-2</v>
      </c>
      <c r="K27" s="168">
        <v>3.8856148327217135E-2</v>
      </c>
      <c r="L27" s="168">
        <v>2.5755636317244254E-2</v>
      </c>
      <c r="M27" s="168">
        <v>3.2871629151068692E-2</v>
      </c>
      <c r="N27" s="168">
        <v>3.345802779396459E-2</v>
      </c>
      <c r="O27" s="168">
        <v>3.9865205909980807E-2</v>
      </c>
      <c r="P27" s="168">
        <v>1.8010068429450337E-2</v>
      </c>
      <c r="Q27" s="168">
        <v>1.9677013558636863E-2</v>
      </c>
      <c r="R27" s="168">
        <v>9.5745349269936983E-2</v>
      </c>
      <c r="S27" s="168">
        <v>5.9116203879799066E-2</v>
      </c>
      <c r="T27" s="169">
        <v>2.7202557609631646E-2</v>
      </c>
      <c r="U27" s="169">
        <v>3.014402846119367E-2</v>
      </c>
      <c r="V27" s="169">
        <v>3.2658187876727869E-2</v>
      </c>
      <c r="W27" s="169">
        <v>3.3620637597523789E-2</v>
      </c>
      <c r="X27" s="169">
        <v>3.2340470184113831E-2</v>
      </c>
      <c r="Y27" s="169">
        <v>3.1483076483119182E-2</v>
      </c>
      <c r="Z27" s="169">
        <v>3.0820994893614735E-2</v>
      </c>
      <c r="AA27" s="169">
        <v>3.0271316504120158E-2</v>
      </c>
      <c r="AB27" s="169">
        <v>2.9793981416740511E-2</v>
      </c>
      <c r="AC27" s="169">
        <v>2.9367845296060985E-2</v>
      </c>
      <c r="AD27" s="170">
        <v>3.1190615182513426E-2</v>
      </c>
      <c r="AE27" s="170">
        <v>3.0347172588151006E-2</v>
      </c>
      <c r="AF27" s="170">
        <v>3.0768807615334515E-2</v>
      </c>
    </row>
    <row r="28" spans="2:32" x14ac:dyDescent="0.3">
      <c r="B28" s="1" t="s">
        <v>49</v>
      </c>
      <c r="C28" s="1" t="s">
        <v>54</v>
      </c>
      <c r="D28" s="1" t="s">
        <v>53</v>
      </c>
      <c r="E28" s="1" t="s">
        <v>28</v>
      </c>
      <c r="F28" s="5" t="str">
        <f t="shared" si="0"/>
        <v>Bridge - Regional - &gt;$5 bn</v>
      </c>
      <c r="G28" s="168">
        <v>3.5659301435824166E-2</v>
      </c>
      <c r="H28" s="168">
        <v>3.1699185759928625E-2</v>
      </c>
      <c r="I28" s="168">
        <v>2.7199991470083475E-2</v>
      </c>
      <c r="J28" s="168">
        <v>2.1824454703415111E-2</v>
      </c>
      <c r="K28" s="168">
        <v>3.8856148327217135E-2</v>
      </c>
      <c r="L28" s="168">
        <v>2.5755636317244254E-2</v>
      </c>
      <c r="M28" s="168">
        <v>3.2871629151068692E-2</v>
      </c>
      <c r="N28" s="168">
        <v>3.345802779396459E-2</v>
      </c>
      <c r="O28" s="168">
        <v>3.9865205909980807E-2</v>
      </c>
      <c r="P28" s="168">
        <v>1.8010068429450337E-2</v>
      </c>
      <c r="Q28" s="168">
        <v>1.9677013558636863E-2</v>
      </c>
      <c r="R28" s="168">
        <v>9.5745349269936983E-2</v>
      </c>
      <c r="S28" s="168">
        <v>5.9116203879799066E-2</v>
      </c>
      <c r="T28" s="169">
        <v>2.7202557609631646E-2</v>
      </c>
      <c r="U28" s="169">
        <v>3.014402846119367E-2</v>
      </c>
      <c r="V28" s="169">
        <v>3.2658187876727869E-2</v>
      </c>
      <c r="W28" s="169">
        <v>3.3620637597523789E-2</v>
      </c>
      <c r="X28" s="169">
        <v>3.2340470184113831E-2</v>
      </c>
      <c r="Y28" s="169">
        <v>3.1483076483119182E-2</v>
      </c>
      <c r="Z28" s="169">
        <v>3.0820994893614735E-2</v>
      </c>
      <c r="AA28" s="169">
        <v>3.0271316504120158E-2</v>
      </c>
      <c r="AB28" s="169">
        <v>2.9793981416740511E-2</v>
      </c>
      <c r="AC28" s="169">
        <v>2.9367845296060985E-2</v>
      </c>
      <c r="AD28" s="170">
        <v>3.1190615182513426E-2</v>
      </c>
      <c r="AE28" s="170">
        <v>3.0347172588151006E-2</v>
      </c>
      <c r="AF28" s="170">
        <v>3.0768807615334515E-2</v>
      </c>
    </row>
    <row r="29" spans="2:32" x14ac:dyDescent="0.3">
      <c r="B29" s="1" t="s">
        <v>49</v>
      </c>
      <c r="C29" s="1" t="s">
        <v>55</v>
      </c>
      <c r="D29" s="1" t="s">
        <v>22</v>
      </c>
      <c r="E29" s="1" t="s">
        <v>50</v>
      </c>
      <c r="F29" s="5" t="str">
        <f t="shared" si="0"/>
        <v>Rail - Metro - &lt;$250 mil</v>
      </c>
      <c r="G29" s="168">
        <v>2.6462923632766609E-2</v>
      </c>
      <c r="H29" s="168">
        <v>3.3156955031282929E-2</v>
      </c>
      <c r="I29" s="168">
        <v>2.7070843942827834E-2</v>
      </c>
      <c r="J29" s="168">
        <v>2.2301496695313391E-2</v>
      </c>
      <c r="K29" s="168">
        <v>4.5189309866823499E-2</v>
      </c>
      <c r="L29" s="168">
        <v>2.1598446755828903E-2</v>
      </c>
      <c r="M29" s="168">
        <v>2.996130102525776E-2</v>
      </c>
      <c r="N29" s="168">
        <v>3.2400878828448457E-2</v>
      </c>
      <c r="O29" s="168">
        <v>3.8433566236625694E-2</v>
      </c>
      <c r="P29" s="168">
        <v>2.4077999751232232E-2</v>
      </c>
      <c r="Q29" s="168">
        <v>1.4791050629431859E-2</v>
      </c>
      <c r="R29" s="168">
        <v>9.8629234391898163E-2</v>
      </c>
      <c r="S29" s="168">
        <v>5.892002464984894E-2</v>
      </c>
      <c r="T29" s="169">
        <v>2.3222124650482023E-2</v>
      </c>
      <c r="U29" s="169">
        <v>3.1589248438900749E-2</v>
      </c>
      <c r="V29" s="169">
        <v>3.2336143677494149E-2</v>
      </c>
      <c r="W29" s="169">
        <v>3.3222667560916096E-2</v>
      </c>
      <c r="X29" s="169">
        <v>3.2048936789179999E-2</v>
      </c>
      <c r="Y29" s="169">
        <v>3.1267778643766828E-2</v>
      </c>
      <c r="Z29" s="169">
        <v>3.065611887120577E-2</v>
      </c>
      <c r="AA29" s="169">
        <v>3.0141864955252548E-2</v>
      </c>
      <c r="AB29" s="169">
        <v>2.9691097783185096E-2</v>
      </c>
      <c r="AC29" s="169">
        <v>2.9286072721335009E-2</v>
      </c>
      <c r="AD29" s="170">
        <v>3.04772676640781E-2</v>
      </c>
      <c r="AE29" s="170">
        <v>3.0208349242736077E-2</v>
      </c>
      <c r="AF29" s="170">
        <v>3.0342799679977883E-2</v>
      </c>
    </row>
    <row r="30" spans="2:32" x14ac:dyDescent="0.3">
      <c r="B30" s="1" t="s">
        <v>49</v>
      </c>
      <c r="C30" s="1" t="s">
        <v>55</v>
      </c>
      <c r="D30" s="1" t="s">
        <v>22</v>
      </c>
      <c r="E30" s="1" t="s">
        <v>51</v>
      </c>
      <c r="F30" s="5" t="str">
        <f t="shared" si="0"/>
        <v>Rail - Metro - $250 mil-$500 mil</v>
      </c>
      <c r="G30" s="168">
        <v>2.6462923632766609E-2</v>
      </c>
      <c r="H30" s="168">
        <v>3.3156955031282929E-2</v>
      </c>
      <c r="I30" s="168">
        <v>2.7070843942827834E-2</v>
      </c>
      <c r="J30" s="168">
        <v>2.2301496695313391E-2</v>
      </c>
      <c r="K30" s="168">
        <v>4.5189309866823499E-2</v>
      </c>
      <c r="L30" s="168">
        <v>2.1598446755828903E-2</v>
      </c>
      <c r="M30" s="168">
        <v>2.996130102525776E-2</v>
      </c>
      <c r="N30" s="168">
        <v>3.2400878828448457E-2</v>
      </c>
      <c r="O30" s="168">
        <v>3.8433566236625694E-2</v>
      </c>
      <c r="P30" s="168">
        <v>2.4077999751232232E-2</v>
      </c>
      <c r="Q30" s="168">
        <v>1.4791050629431859E-2</v>
      </c>
      <c r="R30" s="168">
        <v>9.8629234391898163E-2</v>
      </c>
      <c r="S30" s="168">
        <v>5.892002464984894E-2</v>
      </c>
      <c r="T30" s="169">
        <v>2.3222124650482023E-2</v>
      </c>
      <c r="U30" s="169">
        <v>3.1589248438900749E-2</v>
      </c>
      <c r="V30" s="169">
        <v>3.2336143677494149E-2</v>
      </c>
      <c r="W30" s="169">
        <v>3.3222667560916096E-2</v>
      </c>
      <c r="X30" s="169">
        <v>3.2048936789179999E-2</v>
      </c>
      <c r="Y30" s="169">
        <v>3.1267778643766828E-2</v>
      </c>
      <c r="Z30" s="169">
        <v>3.065611887120577E-2</v>
      </c>
      <c r="AA30" s="169">
        <v>3.0141864955252548E-2</v>
      </c>
      <c r="AB30" s="169">
        <v>2.9691097783185096E-2</v>
      </c>
      <c r="AC30" s="169">
        <v>2.9286072721335009E-2</v>
      </c>
      <c r="AD30" s="170">
        <v>3.04772676640781E-2</v>
      </c>
      <c r="AE30" s="170">
        <v>3.0208349242736077E-2</v>
      </c>
      <c r="AF30" s="170">
        <v>3.0342799679977883E-2</v>
      </c>
    </row>
    <row r="31" spans="2:32" x14ac:dyDescent="0.3">
      <c r="B31" s="1" t="s">
        <v>49</v>
      </c>
      <c r="C31" s="1" t="s">
        <v>55</v>
      </c>
      <c r="D31" s="1" t="s">
        <v>22</v>
      </c>
      <c r="E31" s="1" t="s">
        <v>23</v>
      </c>
      <c r="F31" s="5" t="str">
        <f t="shared" si="0"/>
        <v>Rail - Metro - $500 mil-$1 bn</v>
      </c>
      <c r="G31" s="168">
        <v>2.6462923632766609E-2</v>
      </c>
      <c r="H31" s="168">
        <v>3.3156955031282929E-2</v>
      </c>
      <c r="I31" s="168">
        <v>2.7070843942827834E-2</v>
      </c>
      <c r="J31" s="168">
        <v>2.2301496695313391E-2</v>
      </c>
      <c r="K31" s="168">
        <v>4.5189309866823499E-2</v>
      </c>
      <c r="L31" s="168">
        <v>2.1598446755828903E-2</v>
      </c>
      <c r="M31" s="168">
        <v>2.996130102525776E-2</v>
      </c>
      <c r="N31" s="168">
        <v>3.2400878828448457E-2</v>
      </c>
      <c r="O31" s="168">
        <v>3.8433566236625694E-2</v>
      </c>
      <c r="P31" s="168">
        <v>2.4077999751232232E-2</v>
      </c>
      <c r="Q31" s="168">
        <v>1.4791050629431859E-2</v>
      </c>
      <c r="R31" s="168">
        <v>9.8629234391898163E-2</v>
      </c>
      <c r="S31" s="168">
        <v>5.892002464984894E-2</v>
      </c>
      <c r="T31" s="169">
        <v>2.3222124650482023E-2</v>
      </c>
      <c r="U31" s="169">
        <v>3.1589248438900749E-2</v>
      </c>
      <c r="V31" s="169">
        <v>3.2336143677494149E-2</v>
      </c>
      <c r="W31" s="169">
        <v>3.3222667560916096E-2</v>
      </c>
      <c r="X31" s="169">
        <v>3.2048936789179999E-2</v>
      </c>
      <c r="Y31" s="169">
        <v>3.1267778643766828E-2</v>
      </c>
      <c r="Z31" s="169">
        <v>3.065611887120577E-2</v>
      </c>
      <c r="AA31" s="169">
        <v>3.0141864955252548E-2</v>
      </c>
      <c r="AB31" s="169">
        <v>2.9691097783185096E-2</v>
      </c>
      <c r="AC31" s="169">
        <v>2.9286072721335009E-2</v>
      </c>
      <c r="AD31" s="170">
        <v>3.04772676640781E-2</v>
      </c>
      <c r="AE31" s="170">
        <v>3.0208349242736077E-2</v>
      </c>
      <c r="AF31" s="170">
        <v>3.0342799679977883E-2</v>
      </c>
    </row>
    <row r="32" spans="2:32" x14ac:dyDescent="0.3">
      <c r="B32" s="1" t="s">
        <v>49</v>
      </c>
      <c r="C32" s="1" t="s">
        <v>55</v>
      </c>
      <c r="D32" s="1" t="s">
        <v>22</v>
      </c>
      <c r="E32" s="1" t="s">
        <v>52</v>
      </c>
      <c r="F32" s="5" t="str">
        <f t="shared" si="0"/>
        <v>Rail - Metro - $1 bn-$5 bn</v>
      </c>
      <c r="G32" s="168">
        <v>2.6462923632766609E-2</v>
      </c>
      <c r="H32" s="168">
        <v>3.3156955031282929E-2</v>
      </c>
      <c r="I32" s="168">
        <v>2.7070843942827834E-2</v>
      </c>
      <c r="J32" s="168">
        <v>2.2301496695313391E-2</v>
      </c>
      <c r="K32" s="168">
        <v>4.5189309866823499E-2</v>
      </c>
      <c r="L32" s="168">
        <v>2.1598446755828903E-2</v>
      </c>
      <c r="M32" s="168">
        <v>2.996130102525776E-2</v>
      </c>
      <c r="N32" s="168">
        <v>3.2400878828448457E-2</v>
      </c>
      <c r="O32" s="168">
        <v>3.8433566236625694E-2</v>
      </c>
      <c r="P32" s="168">
        <v>2.4077999751232232E-2</v>
      </c>
      <c r="Q32" s="168">
        <v>1.4791050629431859E-2</v>
      </c>
      <c r="R32" s="168">
        <v>9.8629234391898163E-2</v>
      </c>
      <c r="S32" s="168">
        <v>5.892002464984894E-2</v>
      </c>
      <c r="T32" s="169">
        <v>2.3222124650482023E-2</v>
      </c>
      <c r="U32" s="169">
        <v>3.1589248438900749E-2</v>
      </c>
      <c r="V32" s="169">
        <v>3.2336143677494149E-2</v>
      </c>
      <c r="W32" s="169">
        <v>3.3222667560916096E-2</v>
      </c>
      <c r="X32" s="169">
        <v>3.2048936789179999E-2</v>
      </c>
      <c r="Y32" s="169">
        <v>3.1267778643766828E-2</v>
      </c>
      <c r="Z32" s="169">
        <v>3.065611887120577E-2</v>
      </c>
      <c r="AA32" s="169">
        <v>3.0141864955252548E-2</v>
      </c>
      <c r="AB32" s="169">
        <v>2.9691097783185096E-2</v>
      </c>
      <c r="AC32" s="169">
        <v>2.9286072721335009E-2</v>
      </c>
      <c r="AD32" s="170">
        <v>3.04772676640781E-2</v>
      </c>
      <c r="AE32" s="170">
        <v>3.0208349242736077E-2</v>
      </c>
      <c r="AF32" s="170">
        <v>3.0342799679977883E-2</v>
      </c>
    </row>
    <row r="33" spans="2:32" x14ac:dyDescent="0.3">
      <c r="B33" s="1" t="s">
        <v>49</v>
      </c>
      <c r="C33" s="1" t="s">
        <v>55</v>
      </c>
      <c r="D33" s="1" t="s">
        <v>22</v>
      </c>
      <c r="E33" s="1" t="s">
        <v>28</v>
      </c>
      <c r="F33" s="5" t="str">
        <f t="shared" si="0"/>
        <v>Rail - Metro - &gt;$5 bn</v>
      </c>
      <c r="G33" s="168">
        <v>2.6462923632766609E-2</v>
      </c>
      <c r="H33" s="168">
        <v>3.3156955031282929E-2</v>
      </c>
      <c r="I33" s="168">
        <v>2.7070843942827834E-2</v>
      </c>
      <c r="J33" s="168">
        <v>2.2301496695313391E-2</v>
      </c>
      <c r="K33" s="168">
        <v>4.5189309866823499E-2</v>
      </c>
      <c r="L33" s="168">
        <v>2.1598446755828903E-2</v>
      </c>
      <c r="M33" s="168">
        <v>2.996130102525776E-2</v>
      </c>
      <c r="N33" s="168">
        <v>3.2400878828448457E-2</v>
      </c>
      <c r="O33" s="168">
        <v>3.8433566236625694E-2</v>
      </c>
      <c r="P33" s="168">
        <v>2.4077999751232232E-2</v>
      </c>
      <c r="Q33" s="168">
        <v>1.4791050629431859E-2</v>
      </c>
      <c r="R33" s="168">
        <v>9.8629234391898163E-2</v>
      </c>
      <c r="S33" s="168">
        <v>5.892002464984894E-2</v>
      </c>
      <c r="T33" s="169">
        <v>2.3222124650482023E-2</v>
      </c>
      <c r="U33" s="169">
        <v>3.1589248438900749E-2</v>
      </c>
      <c r="V33" s="169">
        <v>3.2336143677494149E-2</v>
      </c>
      <c r="W33" s="169">
        <v>3.3222667560916096E-2</v>
      </c>
      <c r="X33" s="169">
        <v>3.2048936789179999E-2</v>
      </c>
      <c r="Y33" s="169">
        <v>3.1267778643766828E-2</v>
      </c>
      <c r="Z33" s="169">
        <v>3.065611887120577E-2</v>
      </c>
      <c r="AA33" s="169">
        <v>3.0141864955252548E-2</v>
      </c>
      <c r="AB33" s="169">
        <v>2.9691097783185096E-2</v>
      </c>
      <c r="AC33" s="169">
        <v>2.9286072721335009E-2</v>
      </c>
      <c r="AD33" s="170">
        <v>3.04772676640781E-2</v>
      </c>
      <c r="AE33" s="170">
        <v>3.0208349242736077E-2</v>
      </c>
      <c r="AF33" s="170">
        <v>3.0342799679977883E-2</v>
      </c>
    </row>
    <row r="34" spans="2:32" x14ac:dyDescent="0.3">
      <c r="B34" s="1" t="s">
        <v>49</v>
      </c>
      <c r="C34" s="1" t="s">
        <v>55</v>
      </c>
      <c r="D34" s="1" t="s">
        <v>53</v>
      </c>
      <c r="E34" s="1" t="s">
        <v>50</v>
      </c>
      <c r="F34" s="5" t="str">
        <f t="shared" si="0"/>
        <v>Rail - Regional - &lt;$250 mil</v>
      </c>
      <c r="G34" s="168">
        <v>3.1834646338664258E-2</v>
      </c>
      <c r="H34" s="168">
        <v>3.4734992570606894E-2</v>
      </c>
      <c r="I34" s="168">
        <v>2.8260984103065906E-2</v>
      </c>
      <c r="J34" s="168">
        <v>2.2857110864745327E-2</v>
      </c>
      <c r="K34" s="168">
        <v>4.3881107025345173E-2</v>
      </c>
      <c r="L34" s="168">
        <v>2.4156096816735365E-2</v>
      </c>
      <c r="M34" s="168">
        <v>3.125874725283919E-2</v>
      </c>
      <c r="N34" s="168">
        <v>3.2765997333100795E-2</v>
      </c>
      <c r="O34" s="168">
        <v>4.3024067969886046E-2</v>
      </c>
      <c r="P34" s="168">
        <v>2.4077802583584395E-2</v>
      </c>
      <c r="Q34" s="168">
        <v>1.7754906824548056E-2</v>
      </c>
      <c r="R34" s="168">
        <v>9.7345098222127072E-2</v>
      </c>
      <c r="S34" s="168">
        <v>5.6187463960997573E-2</v>
      </c>
      <c r="T34" s="169">
        <v>2.4818132405607155E-2</v>
      </c>
      <c r="U34" s="169">
        <v>3.0053407362153395E-2</v>
      </c>
      <c r="V34" s="169">
        <v>3.235416857808323E-2</v>
      </c>
      <c r="W34" s="169">
        <v>3.3472119796523675E-2</v>
      </c>
      <c r="X34" s="169">
        <v>3.240847359389433E-2</v>
      </c>
      <c r="Y34" s="169">
        <v>3.1698633648952777E-2</v>
      </c>
      <c r="Z34" s="169">
        <v>3.11370530730407E-2</v>
      </c>
      <c r="AA34" s="169">
        <v>3.0659733820976857E-2</v>
      </c>
      <c r="AB34" s="169">
        <v>3.0237149537784076E-2</v>
      </c>
      <c r="AC34" s="169">
        <v>2.985417990200416E-2</v>
      </c>
      <c r="AD34" s="170">
        <v>3.0616561414036569E-2</v>
      </c>
      <c r="AE34" s="170">
        <v>3.0717144520990836E-2</v>
      </c>
      <c r="AF34" s="170">
        <v>3.0666851740521528E-2</v>
      </c>
    </row>
    <row r="35" spans="2:32" x14ac:dyDescent="0.3">
      <c r="B35" s="1" t="s">
        <v>49</v>
      </c>
      <c r="C35" s="1" t="s">
        <v>55</v>
      </c>
      <c r="D35" s="1" t="s">
        <v>53</v>
      </c>
      <c r="E35" s="1" t="s">
        <v>51</v>
      </c>
      <c r="F35" s="5" t="str">
        <f t="shared" si="0"/>
        <v>Rail - Regional - $250 mil-$500 mil</v>
      </c>
      <c r="G35" s="168">
        <v>3.1834646338664258E-2</v>
      </c>
      <c r="H35" s="168">
        <v>3.4734992570606894E-2</v>
      </c>
      <c r="I35" s="168">
        <v>2.8260984103065906E-2</v>
      </c>
      <c r="J35" s="168">
        <v>2.2857110864745327E-2</v>
      </c>
      <c r="K35" s="168">
        <v>4.3881107025345173E-2</v>
      </c>
      <c r="L35" s="168">
        <v>2.4156096816735365E-2</v>
      </c>
      <c r="M35" s="168">
        <v>3.125874725283919E-2</v>
      </c>
      <c r="N35" s="168">
        <v>3.2765997333100795E-2</v>
      </c>
      <c r="O35" s="168">
        <v>4.3024067969886046E-2</v>
      </c>
      <c r="P35" s="168">
        <v>2.4077802583584395E-2</v>
      </c>
      <c r="Q35" s="168">
        <v>1.7754906824548056E-2</v>
      </c>
      <c r="R35" s="168">
        <v>9.7345098222127072E-2</v>
      </c>
      <c r="S35" s="168">
        <v>5.6187463960997573E-2</v>
      </c>
      <c r="T35" s="169">
        <v>2.4818132405607155E-2</v>
      </c>
      <c r="U35" s="169">
        <v>3.0053407362153395E-2</v>
      </c>
      <c r="V35" s="169">
        <v>3.235416857808323E-2</v>
      </c>
      <c r="W35" s="169">
        <v>3.3472119796523675E-2</v>
      </c>
      <c r="X35" s="169">
        <v>3.240847359389433E-2</v>
      </c>
      <c r="Y35" s="169">
        <v>3.1698633648952777E-2</v>
      </c>
      <c r="Z35" s="169">
        <v>3.11370530730407E-2</v>
      </c>
      <c r="AA35" s="169">
        <v>3.0659733820976857E-2</v>
      </c>
      <c r="AB35" s="169">
        <v>3.0237149537784076E-2</v>
      </c>
      <c r="AC35" s="169">
        <v>2.985417990200416E-2</v>
      </c>
      <c r="AD35" s="170">
        <v>3.0616561414036569E-2</v>
      </c>
      <c r="AE35" s="170">
        <v>3.0717144520990836E-2</v>
      </c>
      <c r="AF35" s="170">
        <v>3.0666851740521528E-2</v>
      </c>
    </row>
    <row r="36" spans="2:32" x14ac:dyDescent="0.3">
      <c r="B36" s="1" t="s">
        <v>49</v>
      </c>
      <c r="C36" s="1" t="s">
        <v>55</v>
      </c>
      <c r="D36" s="1" t="s">
        <v>53</v>
      </c>
      <c r="E36" s="1" t="s">
        <v>23</v>
      </c>
      <c r="F36" s="5" t="str">
        <f t="shared" si="0"/>
        <v>Rail - Regional - $500 mil-$1 bn</v>
      </c>
      <c r="G36" s="168">
        <v>3.1834646338664258E-2</v>
      </c>
      <c r="H36" s="168">
        <v>3.4734992570606894E-2</v>
      </c>
      <c r="I36" s="168">
        <v>2.8260984103065906E-2</v>
      </c>
      <c r="J36" s="168">
        <v>2.2857110864745327E-2</v>
      </c>
      <c r="K36" s="168">
        <v>4.3881107025345173E-2</v>
      </c>
      <c r="L36" s="168">
        <v>2.4156096816735365E-2</v>
      </c>
      <c r="M36" s="168">
        <v>3.125874725283919E-2</v>
      </c>
      <c r="N36" s="168">
        <v>3.2765997333100795E-2</v>
      </c>
      <c r="O36" s="168">
        <v>4.3024067969886046E-2</v>
      </c>
      <c r="P36" s="168">
        <v>2.4077802583584395E-2</v>
      </c>
      <c r="Q36" s="168">
        <v>1.7754906824548056E-2</v>
      </c>
      <c r="R36" s="168">
        <v>9.7345098222127072E-2</v>
      </c>
      <c r="S36" s="168">
        <v>5.6187463960997573E-2</v>
      </c>
      <c r="T36" s="169">
        <v>2.4818132405607155E-2</v>
      </c>
      <c r="U36" s="169">
        <v>3.0053407362153395E-2</v>
      </c>
      <c r="V36" s="169">
        <v>3.235416857808323E-2</v>
      </c>
      <c r="W36" s="169">
        <v>3.3472119796523675E-2</v>
      </c>
      <c r="X36" s="169">
        <v>3.240847359389433E-2</v>
      </c>
      <c r="Y36" s="169">
        <v>3.1698633648952777E-2</v>
      </c>
      <c r="Z36" s="169">
        <v>3.11370530730407E-2</v>
      </c>
      <c r="AA36" s="169">
        <v>3.0659733820976857E-2</v>
      </c>
      <c r="AB36" s="169">
        <v>3.0237149537784076E-2</v>
      </c>
      <c r="AC36" s="169">
        <v>2.985417990200416E-2</v>
      </c>
      <c r="AD36" s="170">
        <v>3.0616561414036569E-2</v>
      </c>
      <c r="AE36" s="170">
        <v>3.0717144520990836E-2</v>
      </c>
      <c r="AF36" s="170">
        <v>3.0666851740521528E-2</v>
      </c>
    </row>
    <row r="37" spans="2:32" x14ac:dyDescent="0.3">
      <c r="B37" s="1" t="s">
        <v>49</v>
      </c>
      <c r="C37" s="1" t="s">
        <v>55</v>
      </c>
      <c r="D37" s="1" t="s">
        <v>53</v>
      </c>
      <c r="E37" s="1" t="s">
        <v>52</v>
      </c>
      <c r="F37" s="5" t="str">
        <f t="shared" si="0"/>
        <v>Rail - Regional - $1 bn-$5 bn</v>
      </c>
      <c r="G37" s="168">
        <v>3.1834646338664258E-2</v>
      </c>
      <c r="H37" s="168">
        <v>3.4734992570606894E-2</v>
      </c>
      <c r="I37" s="168">
        <v>2.8260984103065906E-2</v>
      </c>
      <c r="J37" s="168">
        <v>2.2857110864745327E-2</v>
      </c>
      <c r="K37" s="168">
        <v>4.3881107025345173E-2</v>
      </c>
      <c r="L37" s="168">
        <v>2.4156096816735365E-2</v>
      </c>
      <c r="M37" s="168">
        <v>3.125874725283919E-2</v>
      </c>
      <c r="N37" s="168">
        <v>3.2765997333100795E-2</v>
      </c>
      <c r="O37" s="168">
        <v>4.3024067969886046E-2</v>
      </c>
      <c r="P37" s="168">
        <v>2.4077802583584395E-2</v>
      </c>
      <c r="Q37" s="168">
        <v>1.7754906824548056E-2</v>
      </c>
      <c r="R37" s="168">
        <v>9.7345098222127072E-2</v>
      </c>
      <c r="S37" s="168">
        <v>5.6187463960997573E-2</v>
      </c>
      <c r="T37" s="169">
        <v>2.4818132405607155E-2</v>
      </c>
      <c r="U37" s="169">
        <v>3.0053407362153395E-2</v>
      </c>
      <c r="V37" s="169">
        <v>3.235416857808323E-2</v>
      </c>
      <c r="W37" s="169">
        <v>3.3472119796523675E-2</v>
      </c>
      <c r="X37" s="169">
        <v>3.240847359389433E-2</v>
      </c>
      <c r="Y37" s="169">
        <v>3.1698633648952777E-2</v>
      </c>
      <c r="Z37" s="169">
        <v>3.11370530730407E-2</v>
      </c>
      <c r="AA37" s="169">
        <v>3.0659733820976857E-2</v>
      </c>
      <c r="AB37" s="169">
        <v>3.0237149537784076E-2</v>
      </c>
      <c r="AC37" s="169">
        <v>2.985417990200416E-2</v>
      </c>
      <c r="AD37" s="170">
        <v>3.0616561414036569E-2</v>
      </c>
      <c r="AE37" s="170">
        <v>3.0717144520990836E-2</v>
      </c>
      <c r="AF37" s="170">
        <v>3.0666851740521528E-2</v>
      </c>
    </row>
    <row r="38" spans="2:32" x14ac:dyDescent="0.3">
      <c r="B38" s="1" t="s">
        <v>49</v>
      </c>
      <c r="C38" s="1" t="s">
        <v>55</v>
      </c>
      <c r="D38" s="1" t="s">
        <v>53</v>
      </c>
      <c r="E38" s="1" t="s">
        <v>28</v>
      </c>
      <c r="F38" s="5" t="str">
        <f t="shared" si="0"/>
        <v>Rail - Regional - &gt;$5 bn</v>
      </c>
      <c r="G38" s="168">
        <v>3.1834646338664258E-2</v>
      </c>
      <c r="H38" s="168">
        <v>3.4734992570606894E-2</v>
      </c>
      <c r="I38" s="168">
        <v>2.8260984103065906E-2</v>
      </c>
      <c r="J38" s="168">
        <v>2.2857110864745327E-2</v>
      </c>
      <c r="K38" s="168">
        <v>4.3881107025345173E-2</v>
      </c>
      <c r="L38" s="168">
        <v>2.4156096816735365E-2</v>
      </c>
      <c r="M38" s="168">
        <v>3.125874725283919E-2</v>
      </c>
      <c r="N38" s="168">
        <v>3.2765997333100795E-2</v>
      </c>
      <c r="O38" s="168">
        <v>4.3024067969886046E-2</v>
      </c>
      <c r="P38" s="168">
        <v>2.4077802583584395E-2</v>
      </c>
      <c r="Q38" s="168">
        <v>1.7754906824548056E-2</v>
      </c>
      <c r="R38" s="168">
        <v>9.7345098222127072E-2</v>
      </c>
      <c r="S38" s="168">
        <v>5.6187463960997573E-2</v>
      </c>
      <c r="T38" s="169">
        <v>2.4818132405607155E-2</v>
      </c>
      <c r="U38" s="169">
        <v>3.0053407362153395E-2</v>
      </c>
      <c r="V38" s="169">
        <v>3.235416857808323E-2</v>
      </c>
      <c r="W38" s="169">
        <v>3.3472119796523675E-2</v>
      </c>
      <c r="X38" s="169">
        <v>3.240847359389433E-2</v>
      </c>
      <c r="Y38" s="169">
        <v>3.1698633648952777E-2</v>
      </c>
      <c r="Z38" s="169">
        <v>3.11370530730407E-2</v>
      </c>
      <c r="AA38" s="169">
        <v>3.0659733820976857E-2</v>
      </c>
      <c r="AB38" s="169">
        <v>3.0237149537784076E-2</v>
      </c>
      <c r="AC38" s="169">
        <v>2.985417990200416E-2</v>
      </c>
      <c r="AD38" s="170">
        <v>3.0616561414036569E-2</v>
      </c>
      <c r="AE38" s="170">
        <v>3.0717144520990836E-2</v>
      </c>
      <c r="AF38" s="170">
        <v>3.0666851740521528E-2</v>
      </c>
    </row>
    <row r="39" spans="2:32" x14ac:dyDescent="0.3">
      <c r="B39" s="1" t="s">
        <v>49</v>
      </c>
      <c r="C39" s="1" t="s">
        <v>56</v>
      </c>
      <c r="D39" s="1" t="s">
        <v>22</v>
      </c>
      <c r="E39" s="1" t="s">
        <v>50</v>
      </c>
      <c r="F39" s="5" t="str">
        <f t="shared" si="0"/>
        <v>Tunnel - Metro - &lt;$250 mil</v>
      </c>
      <c r="G39" s="168">
        <v>0</v>
      </c>
      <c r="H39" s="168">
        <v>0</v>
      </c>
      <c r="I39" s="168">
        <v>0</v>
      </c>
      <c r="J39" s="168">
        <v>0</v>
      </c>
      <c r="K39" s="168">
        <v>0</v>
      </c>
      <c r="L39" s="168">
        <v>0</v>
      </c>
      <c r="M39" s="168">
        <v>0</v>
      </c>
      <c r="N39" s="168">
        <v>0</v>
      </c>
      <c r="O39" s="168">
        <v>0</v>
      </c>
      <c r="P39" s="168">
        <v>0</v>
      </c>
      <c r="Q39" s="168">
        <v>0</v>
      </c>
      <c r="R39" s="168">
        <v>0</v>
      </c>
      <c r="S39" s="168">
        <v>0</v>
      </c>
      <c r="T39" s="169">
        <v>0</v>
      </c>
      <c r="U39" s="169">
        <v>0</v>
      </c>
      <c r="V39" s="169">
        <v>0</v>
      </c>
      <c r="W39" s="169">
        <v>0</v>
      </c>
      <c r="X39" s="169">
        <v>0</v>
      </c>
      <c r="Y39" s="169">
        <v>0</v>
      </c>
      <c r="Z39" s="169">
        <v>0</v>
      </c>
      <c r="AA39" s="169">
        <v>0</v>
      </c>
      <c r="AB39" s="169">
        <v>0</v>
      </c>
      <c r="AC39" s="169">
        <v>0</v>
      </c>
      <c r="AD39" s="170">
        <v>0</v>
      </c>
      <c r="AE39" s="170">
        <v>0</v>
      </c>
      <c r="AF39" s="170">
        <v>0</v>
      </c>
    </row>
    <row r="40" spans="2:32" x14ac:dyDescent="0.3">
      <c r="B40" s="1" t="s">
        <v>49</v>
      </c>
      <c r="C40" s="1" t="s">
        <v>56</v>
      </c>
      <c r="D40" s="1" t="s">
        <v>22</v>
      </c>
      <c r="E40" s="1" t="s">
        <v>51</v>
      </c>
      <c r="F40" s="5" t="str">
        <f t="shared" si="0"/>
        <v>Tunnel - Metro - $250 mil-$500 mil</v>
      </c>
      <c r="G40" s="168">
        <v>0</v>
      </c>
      <c r="H40" s="168">
        <v>0</v>
      </c>
      <c r="I40" s="168">
        <v>0</v>
      </c>
      <c r="J40" s="168">
        <v>0</v>
      </c>
      <c r="K40" s="168">
        <v>0</v>
      </c>
      <c r="L40" s="168">
        <v>0</v>
      </c>
      <c r="M40" s="168">
        <v>0</v>
      </c>
      <c r="N40" s="168">
        <v>0</v>
      </c>
      <c r="O40" s="168">
        <v>0</v>
      </c>
      <c r="P40" s="168">
        <v>0</v>
      </c>
      <c r="Q40" s="168">
        <v>0</v>
      </c>
      <c r="R40" s="168">
        <v>0</v>
      </c>
      <c r="S40" s="168">
        <v>0</v>
      </c>
      <c r="T40" s="169">
        <v>0</v>
      </c>
      <c r="U40" s="169">
        <v>0</v>
      </c>
      <c r="V40" s="169">
        <v>0</v>
      </c>
      <c r="W40" s="169">
        <v>0</v>
      </c>
      <c r="X40" s="169">
        <v>0</v>
      </c>
      <c r="Y40" s="169">
        <v>0</v>
      </c>
      <c r="Z40" s="169">
        <v>0</v>
      </c>
      <c r="AA40" s="169">
        <v>0</v>
      </c>
      <c r="AB40" s="169">
        <v>0</v>
      </c>
      <c r="AC40" s="169">
        <v>0</v>
      </c>
      <c r="AD40" s="170">
        <v>0</v>
      </c>
      <c r="AE40" s="170">
        <v>0</v>
      </c>
      <c r="AF40" s="170">
        <v>0</v>
      </c>
    </row>
    <row r="41" spans="2:32" x14ac:dyDescent="0.3">
      <c r="B41" s="1" t="s">
        <v>49</v>
      </c>
      <c r="C41" s="1" t="s">
        <v>56</v>
      </c>
      <c r="D41" s="1" t="s">
        <v>22</v>
      </c>
      <c r="E41" s="1" t="s">
        <v>23</v>
      </c>
      <c r="F41" s="5" t="str">
        <f t="shared" si="0"/>
        <v>Tunnel - Metro - $500 mil-$1 bn</v>
      </c>
      <c r="G41" s="168">
        <v>0</v>
      </c>
      <c r="H41" s="168">
        <v>0</v>
      </c>
      <c r="I41" s="168">
        <v>0</v>
      </c>
      <c r="J41" s="168">
        <v>0</v>
      </c>
      <c r="K41" s="168">
        <v>0</v>
      </c>
      <c r="L41" s="168">
        <v>0</v>
      </c>
      <c r="M41" s="168">
        <v>0</v>
      </c>
      <c r="N41" s="168">
        <v>0</v>
      </c>
      <c r="O41" s="168">
        <v>0</v>
      </c>
      <c r="P41" s="168">
        <v>0</v>
      </c>
      <c r="Q41" s="168">
        <v>0</v>
      </c>
      <c r="R41" s="168">
        <v>0</v>
      </c>
      <c r="S41" s="168">
        <v>0</v>
      </c>
      <c r="T41" s="169">
        <v>0</v>
      </c>
      <c r="U41" s="169">
        <v>0</v>
      </c>
      <c r="V41" s="169">
        <v>0</v>
      </c>
      <c r="W41" s="169">
        <v>0</v>
      </c>
      <c r="X41" s="169">
        <v>0</v>
      </c>
      <c r="Y41" s="169">
        <v>0</v>
      </c>
      <c r="Z41" s="169">
        <v>0</v>
      </c>
      <c r="AA41" s="169">
        <v>0</v>
      </c>
      <c r="AB41" s="169">
        <v>0</v>
      </c>
      <c r="AC41" s="169">
        <v>0</v>
      </c>
      <c r="AD41" s="170">
        <v>0</v>
      </c>
      <c r="AE41" s="170">
        <v>0</v>
      </c>
      <c r="AF41" s="170">
        <v>0</v>
      </c>
    </row>
    <row r="42" spans="2:32" x14ac:dyDescent="0.3">
      <c r="B42" s="1" t="s">
        <v>49</v>
      </c>
      <c r="C42" s="1" t="s">
        <v>56</v>
      </c>
      <c r="D42" s="1" t="s">
        <v>22</v>
      </c>
      <c r="E42" s="1" t="s">
        <v>52</v>
      </c>
      <c r="F42" s="5" t="str">
        <f t="shared" si="0"/>
        <v>Tunnel - Metro - $1 bn-$5 bn</v>
      </c>
      <c r="G42" s="168">
        <v>3.6030447117203622E-2</v>
      </c>
      <c r="H42" s="168">
        <v>3.2919966714452402E-2</v>
      </c>
      <c r="I42" s="168">
        <v>2.8715375326787584E-2</v>
      </c>
      <c r="J42" s="168">
        <v>2.3977689286689013E-2</v>
      </c>
      <c r="K42" s="168">
        <v>3.4825150509079958E-2</v>
      </c>
      <c r="L42" s="168">
        <v>1.9868140673589225E-2</v>
      </c>
      <c r="M42" s="168">
        <v>2.6440652721306874E-2</v>
      </c>
      <c r="N42" s="168">
        <v>3.3638478442328437E-2</v>
      </c>
      <c r="O42" s="168">
        <v>3.7578551366493414E-2</v>
      </c>
      <c r="P42" s="168">
        <v>2.1034734455445674E-2</v>
      </c>
      <c r="Q42" s="168">
        <v>1.9419988671308574E-2</v>
      </c>
      <c r="R42" s="168">
        <v>8.3786427542082861E-2</v>
      </c>
      <c r="S42" s="168">
        <v>5.6325160498041434E-2</v>
      </c>
      <c r="T42" s="169">
        <v>3.2220411364504896E-2</v>
      </c>
      <c r="U42" s="169">
        <v>3.6062249907340665E-2</v>
      </c>
      <c r="V42" s="169">
        <v>3.4036594119884592E-2</v>
      </c>
      <c r="W42" s="169">
        <v>3.3392071699179779E-2</v>
      </c>
      <c r="X42" s="169">
        <v>3.213523572205236E-2</v>
      </c>
      <c r="Y42" s="169">
        <v>3.1243817872274437E-2</v>
      </c>
      <c r="Z42" s="169">
        <v>3.0541411335417653E-2</v>
      </c>
      <c r="AA42" s="169">
        <v>2.9954278392580108E-2</v>
      </c>
      <c r="AB42" s="169">
        <v>2.9444583901559775E-2</v>
      </c>
      <c r="AC42" s="169">
        <v>2.8991092522854839E-2</v>
      </c>
      <c r="AD42" s="170">
        <v>3.3568312720556603E-2</v>
      </c>
      <c r="AE42" s="170">
        <v>3.0034729806935001E-2</v>
      </c>
      <c r="AF42" s="170">
        <v>3.1800008591843509E-2</v>
      </c>
    </row>
    <row r="43" spans="2:32" x14ac:dyDescent="0.3">
      <c r="B43" s="1" t="s">
        <v>49</v>
      </c>
      <c r="C43" s="1" t="s">
        <v>56</v>
      </c>
      <c r="D43" s="1" t="s">
        <v>22</v>
      </c>
      <c r="E43" s="1" t="s">
        <v>28</v>
      </c>
      <c r="F43" s="5" t="str">
        <f t="shared" si="0"/>
        <v>Tunnel - Metro - &gt;$5 bn</v>
      </c>
      <c r="G43" s="168">
        <v>3.6030447117203622E-2</v>
      </c>
      <c r="H43" s="168">
        <v>3.2919966714452402E-2</v>
      </c>
      <c r="I43" s="168">
        <v>2.8715375326787584E-2</v>
      </c>
      <c r="J43" s="168">
        <v>2.3977689286689013E-2</v>
      </c>
      <c r="K43" s="168">
        <v>3.4825150509079958E-2</v>
      </c>
      <c r="L43" s="168">
        <v>1.9868140673589225E-2</v>
      </c>
      <c r="M43" s="168">
        <v>2.6440652721306874E-2</v>
      </c>
      <c r="N43" s="168">
        <v>3.3638478442328437E-2</v>
      </c>
      <c r="O43" s="168">
        <v>3.7578551366493414E-2</v>
      </c>
      <c r="P43" s="168">
        <v>2.1034734455445674E-2</v>
      </c>
      <c r="Q43" s="168">
        <v>1.9419988671308574E-2</v>
      </c>
      <c r="R43" s="168">
        <v>8.3786427542082861E-2</v>
      </c>
      <c r="S43" s="168">
        <v>5.6325160498041434E-2</v>
      </c>
      <c r="T43" s="169">
        <v>3.2220411364504896E-2</v>
      </c>
      <c r="U43" s="169">
        <v>3.6062249907340665E-2</v>
      </c>
      <c r="V43" s="169">
        <v>3.4036594119884592E-2</v>
      </c>
      <c r="W43" s="169">
        <v>3.3392071699179779E-2</v>
      </c>
      <c r="X43" s="169">
        <v>3.213523572205236E-2</v>
      </c>
      <c r="Y43" s="169">
        <v>3.1243817872274437E-2</v>
      </c>
      <c r="Z43" s="169">
        <v>3.0541411335417653E-2</v>
      </c>
      <c r="AA43" s="169">
        <v>2.9954278392580108E-2</v>
      </c>
      <c r="AB43" s="169">
        <v>2.9444583901559775E-2</v>
      </c>
      <c r="AC43" s="169">
        <v>2.8991092522854839E-2</v>
      </c>
      <c r="AD43" s="170">
        <v>3.3568312720556603E-2</v>
      </c>
      <c r="AE43" s="170">
        <v>3.0034729806935001E-2</v>
      </c>
      <c r="AF43" s="170">
        <v>3.1800008591843509E-2</v>
      </c>
    </row>
    <row r="44" spans="2:32" x14ac:dyDescent="0.3">
      <c r="B44" s="1" t="s">
        <v>49</v>
      </c>
      <c r="C44" s="1" t="s">
        <v>56</v>
      </c>
      <c r="D44" s="1" t="s">
        <v>53</v>
      </c>
      <c r="E44" s="1" t="s">
        <v>50</v>
      </c>
      <c r="F44" s="5" t="str">
        <f t="shared" si="0"/>
        <v>Tunnel - Regional - &lt;$250 mil</v>
      </c>
      <c r="G44" s="168">
        <v>0</v>
      </c>
      <c r="H44" s="168">
        <v>0</v>
      </c>
      <c r="I44" s="168">
        <v>0</v>
      </c>
      <c r="J44" s="168">
        <v>0</v>
      </c>
      <c r="K44" s="168">
        <v>0</v>
      </c>
      <c r="L44" s="168">
        <v>0</v>
      </c>
      <c r="M44" s="168">
        <v>0</v>
      </c>
      <c r="N44" s="168">
        <v>0</v>
      </c>
      <c r="O44" s="168">
        <v>0</v>
      </c>
      <c r="P44" s="168">
        <v>0</v>
      </c>
      <c r="Q44" s="168">
        <v>0</v>
      </c>
      <c r="R44" s="168">
        <v>0</v>
      </c>
      <c r="S44" s="168">
        <v>0</v>
      </c>
      <c r="T44" s="169">
        <v>0</v>
      </c>
      <c r="U44" s="169">
        <v>0</v>
      </c>
      <c r="V44" s="169">
        <v>0</v>
      </c>
      <c r="W44" s="169">
        <v>0</v>
      </c>
      <c r="X44" s="169">
        <v>0</v>
      </c>
      <c r="Y44" s="169">
        <v>0</v>
      </c>
      <c r="Z44" s="169">
        <v>0</v>
      </c>
      <c r="AA44" s="169">
        <v>0</v>
      </c>
      <c r="AB44" s="169">
        <v>0</v>
      </c>
      <c r="AC44" s="169">
        <v>0</v>
      </c>
      <c r="AD44" s="170">
        <v>0</v>
      </c>
      <c r="AE44" s="170">
        <v>0</v>
      </c>
      <c r="AF44" s="170">
        <v>0</v>
      </c>
    </row>
    <row r="45" spans="2:32" x14ac:dyDescent="0.3">
      <c r="B45" s="1" t="s">
        <v>49</v>
      </c>
      <c r="C45" s="1" t="s">
        <v>56</v>
      </c>
      <c r="D45" s="1" t="s">
        <v>53</v>
      </c>
      <c r="E45" s="1" t="s">
        <v>51</v>
      </c>
      <c r="F45" s="5" t="str">
        <f t="shared" si="0"/>
        <v>Tunnel - Regional - $250 mil-$500 mil</v>
      </c>
      <c r="G45" s="168">
        <v>0</v>
      </c>
      <c r="H45" s="168">
        <v>0</v>
      </c>
      <c r="I45" s="168">
        <v>0</v>
      </c>
      <c r="J45" s="168">
        <v>0</v>
      </c>
      <c r="K45" s="168">
        <v>0</v>
      </c>
      <c r="L45" s="168">
        <v>0</v>
      </c>
      <c r="M45" s="168">
        <v>0</v>
      </c>
      <c r="N45" s="168">
        <v>0</v>
      </c>
      <c r="O45" s="168">
        <v>0</v>
      </c>
      <c r="P45" s="168">
        <v>0</v>
      </c>
      <c r="Q45" s="168">
        <v>0</v>
      </c>
      <c r="R45" s="168">
        <v>0</v>
      </c>
      <c r="S45" s="168">
        <v>0</v>
      </c>
      <c r="T45" s="169">
        <v>0</v>
      </c>
      <c r="U45" s="169">
        <v>0</v>
      </c>
      <c r="V45" s="169">
        <v>0</v>
      </c>
      <c r="W45" s="169">
        <v>0</v>
      </c>
      <c r="X45" s="169">
        <v>0</v>
      </c>
      <c r="Y45" s="169">
        <v>0</v>
      </c>
      <c r="Z45" s="169">
        <v>0</v>
      </c>
      <c r="AA45" s="169">
        <v>0</v>
      </c>
      <c r="AB45" s="169">
        <v>0</v>
      </c>
      <c r="AC45" s="169">
        <v>0</v>
      </c>
      <c r="AD45" s="170">
        <v>0</v>
      </c>
      <c r="AE45" s="170">
        <v>0</v>
      </c>
      <c r="AF45" s="170">
        <v>0</v>
      </c>
    </row>
    <row r="46" spans="2:32" x14ac:dyDescent="0.3">
      <c r="B46" s="1" t="s">
        <v>49</v>
      </c>
      <c r="C46" s="1" t="s">
        <v>56</v>
      </c>
      <c r="D46" s="1" t="s">
        <v>53</v>
      </c>
      <c r="E46" s="1" t="s">
        <v>23</v>
      </c>
      <c r="F46" s="5" t="str">
        <f t="shared" si="0"/>
        <v>Tunnel - Regional - $500 mil-$1 bn</v>
      </c>
      <c r="G46" s="168">
        <v>0</v>
      </c>
      <c r="H46" s="168">
        <v>0</v>
      </c>
      <c r="I46" s="168">
        <v>0</v>
      </c>
      <c r="J46" s="168">
        <v>0</v>
      </c>
      <c r="K46" s="168">
        <v>0</v>
      </c>
      <c r="L46" s="168">
        <v>0</v>
      </c>
      <c r="M46" s="168">
        <v>0</v>
      </c>
      <c r="N46" s="168">
        <v>0</v>
      </c>
      <c r="O46" s="168">
        <v>0</v>
      </c>
      <c r="P46" s="168">
        <v>0</v>
      </c>
      <c r="Q46" s="168">
        <v>0</v>
      </c>
      <c r="R46" s="168">
        <v>0</v>
      </c>
      <c r="S46" s="168">
        <v>0</v>
      </c>
      <c r="T46" s="169">
        <v>0</v>
      </c>
      <c r="U46" s="169">
        <v>0</v>
      </c>
      <c r="V46" s="169">
        <v>0</v>
      </c>
      <c r="W46" s="169">
        <v>0</v>
      </c>
      <c r="X46" s="169">
        <v>0</v>
      </c>
      <c r="Y46" s="169">
        <v>0</v>
      </c>
      <c r="Z46" s="169">
        <v>0</v>
      </c>
      <c r="AA46" s="169">
        <v>0</v>
      </c>
      <c r="AB46" s="169">
        <v>0</v>
      </c>
      <c r="AC46" s="169">
        <v>0</v>
      </c>
      <c r="AD46" s="170">
        <v>0</v>
      </c>
      <c r="AE46" s="170">
        <v>0</v>
      </c>
      <c r="AF46" s="170">
        <v>0</v>
      </c>
    </row>
    <row r="47" spans="2:32" x14ac:dyDescent="0.3">
      <c r="B47" s="1" t="s">
        <v>49</v>
      </c>
      <c r="C47" s="1" t="s">
        <v>56</v>
      </c>
      <c r="D47" s="1" t="s">
        <v>53</v>
      </c>
      <c r="E47" s="1" t="s">
        <v>52</v>
      </c>
      <c r="F47" s="5" t="str">
        <f t="shared" si="0"/>
        <v>Tunnel - Regional - $1 bn-$5 bn</v>
      </c>
      <c r="G47" s="168">
        <v>0</v>
      </c>
      <c r="H47" s="168">
        <v>0</v>
      </c>
      <c r="I47" s="168">
        <v>0</v>
      </c>
      <c r="J47" s="168">
        <v>0</v>
      </c>
      <c r="K47" s="168">
        <v>0</v>
      </c>
      <c r="L47" s="168">
        <v>0</v>
      </c>
      <c r="M47" s="168">
        <v>0</v>
      </c>
      <c r="N47" s="168">
        <v>0</v>
      </c>
      <c r="O47" s="168">
        <v>0</v>
      </c>
      <c r="P47" s="168">
        <v>0</v>
      </c>
      <c r="Q47" s="168">
        <v>0</v>
      </c>
      <c r="R47" s="168">
        <v>0</v>
      </c>
      <c r="S47" s="168">
        <v>0</v>
      </c>
      <c r="T47" s="169">
        <v>0</v>
      </c>
      <c r="U47" s="169">
        <v>0</v>
      </c>
      <c r="V47" s="169">
        <v>0</v>
      </c>
      <c r="W47" s="169">
        <v>0</v>
      </c>
      <c r="X47" s="169">
        <v>0</v>
      </c>
      <c r="Y47" s="169">
        <v>0</v>
      </c>
      <c r="Z47" s="169">
        <v>0</v>
      </c>
      <c r="AA47" s="169">
        <v>0</v>
      </c>
      <c r="AB47" s="169">
        <v>0</v>
      </c>
      <c r="AC47" s="169">
        <v>0</v>
      </c>
      <c r="AD47" s="170">
        <v>0</v>
      </c>
      <c r="AE47" s="170">
        <v>0</v>
      </c>
      <c r="AF47" s="170">
        <v>0</v>
      </c>
    </row>
    <row r="48" spans="2:32" x14ac:dyDescent="0.3">
      <c r="B48" s="1" t="s">
        <v>49</v>
      </c>
      <c r="C48" s="1" t="s">
        <v>56</v>
      </c>
      <c r="D48" s="1" t="s">
        <v>53</v>
      </c>
      <c r="E48" s="1" t="s">
        <v>28</v>
      </c>
      <c r="F48" s="5" t="str">
        <f t="shared" si="0"/>
        <v>Tunnel - Regional - &gt;$5 bn</v>
      </c>
      <c r="G48" s="168">
        <v>0</v>
      </c>
      <c r="H48" s="168">
        <v>0</v>
      </c>
      <c r="I48" s="168">
        <v>0</v>
      </c>
      <c r="J48" s="168">
        <v>0</v>
      </c>
      <c r="K48" s="168">
        <v>0</v>
      </c>
      <c r="L48" s="168">
        <v>0</v>
      </c>
      <c r="M48" s="168">
        <v>0</v>
      </c>
      <c r="N48" s="168">
        <v>0</v>
      </c>
      <c r="O48" s="168">
        <v>0</v>
      </c>
      <c r="P48" s="168">
        <v>0</v>
      </c>
      <c r="Q48" s="168">
        <v>0</v>
      </c>
      <c r="R48" s="168">
        <v>0</v>
      </c>
      <c r="S48" s="168">
        <v>0</v>
      </c>
      <c r="T48" s="169">
        <v>0</v>
      </c>
      <c r="U48" s="169">
        <v>0</v>
      </c>
      <c r="V48" s="169">
        <v>0</v>
      </c>
      <c r="W48" s="169">
        <v>0</v>
      </c>
      <c r="X48" s="169">
        <v>0</v>
      </c>
      <c r="Y48" s="169">
        <v>0</v>
      </c>
      <c r="Z48" s="169">
        <v>0</v>
      </c>
      <c r="AA48" s="169">
        <v>0</v>
      </c>
      <c r="AB48" s="169">
        <v>0</v>
      </c>
      <c r="AC48" s="169">
        <v>0</v>
      </c>
      <c r="AD48" s="170">
        <v>0</v>
      </c>
      <c r="AE48" s="170">
        <v>0</v>
      </c>
      <c r="AF48" s="170">
        <v>0</v>
      </c>
    </row>
    <row r="49" spans="2:32" x14ac:dyDescent="0.3">
      <c r="B49" s="1" t="s">
        <v>57</v>
      </c>
      <c r="C49" s="1" t="s">
        <v>58</v>
      </c>
      <c r="D49" s="1" t="s">
        <v>22</v>
      </c>
      <c r="E49" s="1" t="s">
        <v>50</v>
      </c>
      <c r="F49" s="5" t="str">
        <f t="shared" si="0"/>
        <v>Justice - Metro - &lt;$250 mil</v>
      </c>
      <c r="G49" s="168">
        <v>2.4974295838890697E-2</v>
      </c>
      <c r="H49" s="168">
        <v>2.6926336634001916E-2</v>
      </c>
      <c r="I49" s="168">
        <v>2.2470839846222893E-2</v>
      </c>
      <c r="J49" s="168">
        <v>2.6265048737585898E-2</v>
      </c>
      <c r="K49" s="168">
        <v>4.7568513907164649E-2</v>
      </c>
      <c r="L49" s="168">
        <v>1.6188294931773494E-2</v>
      </c>
      <c r="M49" s="168">
        <v>3.127737816582879E-2</v>
      </c>
      <c r="N49" s="168">
        <v>3.4792359871636376E-2</v>
      </c>
      <c r="O49" s="168">
        <v>3.5638227974499517E-2</v>
      </c>
      <c r="P49" s="168">
        <v>2.3090200048015899E-2</v>
      </c>
      <c r="Q49" s="168">
        <v>1.871191432246944E-2</v>
      </c>
      <c r="R49" s="168">
        <v>0.10786880669686824</v>
      </c>
      <c r="S49" s="168">
        <v>5.6316239858435924E-2</v>
      </c>
      <c r="T49" s="169">
        <v>1.8541783117671972E-2</v>
      </c>
      <c r="U49" s="169">
        <v>3.4499144559114771E-2</v>
      </c>
      <c r="V49" s="169">
        <v>3.2025215432995364E-2</v>
      </c>
      <c r="W49" s="169">
        <v>3.1379127923769644E-2</v>
      </c>
      <c r="X49" s="169">
        <v>3.0348108569922091E-2</v>
      </c>
      <c r="Y49" s="169">
        <v>2.9612369143584692E-2</v>
      </c>
      <c r="Z49" s="169">
        <v>2.8976718200934965E-2</v>
      </c>
      <c r="AA49" s="169">
        <v>2.8412242896552461E-2</v>
      </c>
      <c r="AB49" s="169">
        <v>2.7919972181469976E-2</v>
      </c>
      <c r="AC49" s="169">
        <v>2.7484753097409435E-2</v>
      </c>
      <c r="AD49" s="170">
        <v>2.9343489725855765E-2</v>
      </c>
      <c r="AE49" s="170">
        <v>2.8480935215611236E-2</v>
      </c>
      <c r="AF49" s="170">
        <v>2.89121220839752E-2</v>
      </c>
    </row>
    <row r="50" spans="2:32" x14ac:dyDescent="0.3">
      <c r="B50" s="1" t="s">
        <v>57</v>
      </c>
      <c r="C50" s="1" t="s">
        <v>58</v>
      </c>
      <c r="D50" s="1" t="s">
        <v>22</v>
      </c>
      <c r="E50" s="1" t="s">
        <v>51</v>
      </c>
      <c r="F50" s="5" t="str">
        <f t="shared" si="0"/>
        <v>Justice - Metro - $250 mil-$500 mil</v>
      </c>
      <c r="G50" s="168">
        <v>2.4974295838890697E-2</v>
      </c>
      <c r="H50" s="168">
        <v>2.6926336634001916E-2</v>
      </c>
      <c r="I50" s="168">
        <v>2.2470839846222893E-2</v>
      </c>
      <c r="J50" s="168">
        <v>2.6265048737585898E-2</v>
      </c>
      <c r="K50" s="168">
        <v>4.7568513907164649E-2</v>
      </c>
      <c r="L50" s="168">
        <v>1.6188294931773494E-2</v>
      </c>
      <c r="M50" s="168">
        <v>3.127737816582879E-2</v>
      </c>
      <c r="N50" s="168">
        <v>3.4792359871636376E-2</v>
      </c>
      <c r="O50" s="168">
        <v>3.5638227974499517E-2</v>
      </c>
      <c r="P50" s="168">
        <v>2.3090200048015899E-2</v>
      </c>
      <c r="Q50" s="168">
        <v>1.871191432246944E-2</v>
      </c>
      <c r="R50" s="168">
        <v>0.10786880669686824</v>
      </c>
      <c r="S50" s="168">
        <v>5.6316239858435924E-2</v>
      </c>
      <c r="T50" s="169">
        <v>1.8541783117671972E-2</v>
      </c>
      <c r="U50" s="169">
        <v>3.4499144559114771E-2</v>
      </c>
      <c r="V50" s="169">
        <v>3.2025215432995364E-2</v>
      </c>
      <c r="W50" s="169">
        <v>3.1379127923769644E-2</v>
      </c>
      <c r="X50" s="169">
        <v>3.0348108569922091E-2</v>
      </c>
      <c r="Y50" s="169">
        <v>2.9612369143584692E-2</v>
      </c>
      <c r="Z50" s="169">
        <v>2.8976718200934965E-2</v>
      </c>
      <c r="AA50" s="169">
        <v>2.8412242896552461E-2</v>
      </c>
      <c r="AB50" s="169">
        <v>2.7919972181469976E-2</v>
      </c>
      <c r="AC50" s="169">
        <v>2.7484753097409435E-2</v>
      </c>
      <c r="AD50" s="170">
        <v>2.9343489725855765E-2</v>
      </c>
      <c r="AE50" s="170">
        <v>2.8480935215611236E-2</v>
      </c>
      <c r="AF50" s="170">
        <v>2.89121220839752E-2</v>
      </c>
    </row>
    <row r="51" spans="2:32" x14ac:dyDescent="0.3">
      <c r="B51" s="1" t="s">
        <v>57</v>
      </c>
      <c r="C51" s="1" t="s">
        <v>58</v>
      </c>
      <c r="D51" s="1" t="s">
        <v>22</v>
      </c>
      <c r="E51" s="1" t="s">
        <v>23</v>
      </c>
      <c r="F51" s="5" t="str">
        <f t="shared" si="0"/>
        <v>Justice - Metro - $500 mil-$1 bn</v>
      </c>
      <c r="G51" s="168">
        <v>2.4974295838890697E-2</v>
      </c>
      <c r="H51" s="168">
        <v>2.6926336634001916E-2</v>
      </c>
      <c r="I51" s="168">
        <v>2.2470839846222893E-2</v>
      </c>
      <c r="J51" s="168">
        <v>2.6265048737585898E-2</v>
      </c>
      <c r="K51" s="168">
        <v>4.7568513907164649E-2</v>
      </c>
      <c r="L51" s="168">
        <v>1.6188294931773494E-2</v>
      </c>
      <c r="M51" s="168">
        <v>3.127737816582879E-2</v>
      </c>
      <c r="N51" s="168">
        <v>3.4792359871636376E-2</v>
      </c>
      <c r="O51" s="168">
        <v>3.5638227974499517E-2</v>
      </c>
      <c r="P51" s="168">
        <v>2.3090200048015899E-2</v>
      </c>
      <c r="Q51" s="168">
        <v>1.871191432246944E-2</v>
      </c>
      <c r="R51" s="168">
        <v>0.10786880669686824</v>
      </c>
      <c r="S51" s="168">
        <v>5.6316239858435924E-2</v>
      </c>
      <c r="T51" s="169">
        <v>1.8541783117671972E-2</v>
      </c>
      <c r="U51" s="169">
        <v>3.4499144559114771E-2</v>
      </c>
      <c r="V51" s="169">
        <v>3.2025215432995364E-2</v>
      </c>
      <c r="W51" s="169">
        <v>3.1379127923769644E-2</v>
      </c>
      <c r="X51" s="169">
        <v>3.0348108569922091E-2</v>
      </c>
      <c r="Y51" s="169">
        <v>2.9612369143584692E-2</v>
      </c>
      <c r="Z51" s="169">
        <v>2.8976718200934965E-2</v>
      </c>
      <c r="AA51" s="169">
        <v>2.8412242896552461E-2</v>
      </c>
      <c r="AB51" s="169">
        <v>2.7919972181469976E-2</v>
      </c>
      <c r="AC51" s="169">
        <v>2.7484753097409435E-2</v>
      </c>
      <c r="AD51" s="170">
        <v>2.9343489725855765E-2</v>
      </c>
      <c r="AE51" s="170">
        <v>2.8480935215611236E-2</v>
      </c>
      <c r="AF51" s="170">
        <v>2.89121220839752E-2</v>
      </c>
    </row>
    <row r="52" spans="2:32" x14ac:dyDescent="0.3">
      <c r="B52" s="1" t="s">
        <v>57</v>
      </c>
      <c r="C52" s="1" t="s">
        <v>58</v>
      </c>
      <c r="D52" s="1" t="s">
        <v>22</v>
      </c>
      <c r="E52" s="1" t="s">
        <v>52</v>
      </c>
      <c r="F52" s="5" t="str">
        <f t="shared" si="0"/>
        <v>Justice - Metro - $1 bn-$5 bn</v>
      </c>
      <c r="G52" s="168">
        <v>2.4974295838890697E-2</v>
      </c>
      <c r="H52" s="168">
        <v>2.6926336634001916E-2</v>
      </c>
      <c r="I52" s="168">
        <v>2.2470839846222893E-2</v>
      </c>
      <c r="J52" s="168">
        <v>2.6265048737585898E-2</v>
      </c>
      <c r="K52" s="168">
        <v>4.7568513907164649E-2</v>
      </c>
      <c r="L52" s="168">
        <v>1.6188294931773494E-2</v>
      </c>
      <c r="M52" s="168">
        <v>3.127737816582879E-2</v>
      </c>
      <c r="N52" s="168">
        <v>3.4792359871636376E-2</v>
      </c>
      <c r="O52" s="168">
        <v>3.5638227974499517E-2</v>
      </c>
      <c r="P52" s="168">
        <v>2.3090200048015899E-2</v>
      </c>
      <c r="Q52" s="168">
        <v>1.871191432246944E-2</v>
      </c>
      <c r="R52" s="168">
        <v>0.10786880669686824</v>
      </c>
      <c r="S52" s="168">
        <v>5.6316239858435924E-2</v>
      </c>
      <c r="T52" s="169">
        <v>1.8541783117671972E-2</v>
      </c>
      <c r="U52" s="169">
        <v>3.4499144559114771E-2</v>
      </c>
      <c r="V52" s="169">
        <v>3.2025215432995364E-2</v>
      </c>
      <c r="W52" s="169">
        <v>3.1379127923769644E-2</v>
      </c>
      <c r="X52" s="169">
        <v>3.0348108569922091E-2</v>
      </c>
      <c r="Y52" s="169">
        <v>2.9612369143584692E-2</v>
      </c>
      <c r="Z52" s="169">
        <v>2.8976718200934965E-2</v>
      </c>
      <c r="AA52" s="169">
        <v>2.8412242896552461E-2</v>
      </c>
      <c r="AB52" s="169">
        <v>2.7919972181469976E-2</v>
      </c>
      <c r="AC52" s="169">
        <v>2.7484753097409435E-2</v>
      </c>
      <c r="AD52" s="170">
        <v>2.9343489725855765E-2</v>
      </c>
      <c r="AE52" s="170">
        <v>2.8480935215611236E-2</v>
      </c>
      <c r="AF52" s="170">
        <v>2.89121220839752E-2</v>
      </c>
    </row>
    <row r="53" spans="2:32" x14ac:dyDescent="0.3">
      <c r="B53" s="1" t="s">
        <v>57</v>
      </c>
      <c r="C53" s="1" t="s">
        <v>58</v>
      </c>
      <c r="D53" s="1" t="s">
        <v>22</v>
      </c>
      <c r="E53" s="1" t="s">
        <v>28</v>
      </c>
      <c r="F53" s="5" t="str">
        <f t="shared" si="0"/>
        <v>Justice - Metro - &gt;$5 bn</v>
      </c>
      <c r="G53" s="168">
        <v>2.4974295838890697E-2</v>
      </c>
      <c r="H53" s="168">
        <v>2.6926336634001916E-2</v>
      </c>
      <c r="I53" s="168">
        <v>2.2470839846222893E-2</v>
      </c>
      <c r="J53" s="168">
        <v>2.6265048737585898E-2</v>
      </c>
      <c r="K53" s="168">
        <v>4.7568513907164649E-2</v>
      </c>
      <c r="L53" s="168">
        <v>1.6188294931773494E-2</v>
      </c>
      <c r="M53" s="168">
        <v>3.127737816582879E-2</v>
      </c>
      <c r="N53" s="168">
        <v>3.4792359871636376E-2</v>
      </c>
      <c r="O53" s="168">
        <v>3.5638227974499517E-2</v>
      </c>
      <c r="P53" s="168">
        <v>2.3090200048015899E-2</v>
      </c>
      <c r="Q53" s="168">
        <v>1.871191432246944E-2</v>
      </c>
      <c r="R53" s="168">
        <v>0.10786880669686824</v>
      </c>
      <c r="S53" s="168">
        <v>5.6316239858435924E-2</v>
      </c>
      <c r="T53" s="169">
        <v>1.8541783117671972E-2</v>
      </c>
      <c r="U53" s="169">
        <v>3.4499144559114771E-2</v>
      </c>
      <c r="V53" s="169">
        <v>3.2025215432995364E-2</v>
      </c>
      <c r="W53" s="169">
        <v>3.1379127923769644E-2</v>
      </c>
      <c r="X53" s="169">
        <v>3.0348108569922091E-2</v>
      </c>
      <c r="Y53" s="169">
        <v>2.9612369143584692E-2</v>
      </c>
      <c r="Z53" s="169">
        <v>2.8976718200934965E-2</v>
      </c>
      <c r="AA53" s="169">
        <v>2.8412242896552461E-2</v>
      </c>
      <c r="AB53" s="169">
        <v>2.7919972181469976E-2</v>
      </c>
      <c r="AC53" s="169">
        <v>2.7484753097409435E-2</v>
      </c>
      <c r="AD53" s="170">
        <v>2.9343489725855765E-2</v>
      </c>
      <c r="AE53" s="170">
        <v>2.8480935215611236E-2</v>
      </c>
      <c r="AF53" s="170">
        <v>2.89121220839752E-2</v>
      </c>
    </row>
    <row r="54" spans="2:32" x14ac:dyDescent="0.3">
      <c r="B54" s="1" t="s">
        <v>57</v>
      </c>
      <c r="C54" s="1" t="s">
        <v>58</v>
      </c>
      <c r="D54" s="1" t="s">
        <v>53</v>
      </c>
      <c r="E54" s="1" t="s">
        <v>50</v>
      </c>
      <c r="F54" s="5" t="str">
        <f t="shared" si="0"/>
        <v>Justice - Regional - &lt;$250 mil</v>
      </c>
      <c r="G54" s="168">
        <v>2.4974295838890697E-2</v>
      </c>
      <c r="H54" s="168">
        <v>2.6926336634001916E-2</v>
      </c>
      <c r="I54" s="168">
        <v>2.2470839846222893E-2</v>
      </c>
      <c r="J54" s="168">
        <v>2.6265048737585898E-2</v>
      </c>
      <c r="K54" s="168">
        <v>4.7568513907164649E-2</v>
      </c>
      <c r="L54" s="168">
        <v>1.6188294931773494E-2</v>
      </c>
      <c r="M54" s="168">
        <v>3.127737816582879E-2</v>
      </c>
      <c r="N54" s="168">
        <v>3.4792359871636376E-2</v>
      </c>
      <c r="O54" s="168">
        <v>3.5638227974499517E-2</v>
      </c>
      <c r="P54" s="168">
        <v>2.3090200048015899E-2</v>
      </c>
      <c r="Q54" s="168">
        <v>1.871191432246944E-2</v>
      </c>
      <c r="R54" s="168">
        <v>0.10786880669686824</v>
      </c>
      <c r="S54" s="168">
        <v>5.6316239858435924E-2</v>
      </c>
      <c r="T54" s="169">
        <v>1.8541783117671972E-2</v>
      </c>
      <c r="U54" s="169">
        <v>3.4499144559114771E-2</v>
      </c>
      <c r="V54" s="169">
        <v>3.2025215432995364E-2</v>
      </c>
      <c r="W54" s="169">
        <v>3.1379127923769644E-2</v>
      </c>
      <c r="X54" s="169">
        <v>3.0348108569922091E-2</v>
      </c>
      <c r="Y54" s="169">
        <v>2.9612369143584692E-2</v>
      </c>
      <c r="Z54" s="169">
        <v>2.8976718200934965E-2</v>
      </c>
      <c r="AA54" s="169">
        <v>2.8412242896552461E-2</v>
      </c>
      <c r="AB54" s="169">
        <v>2.7919972181469976E-2</v>
      </c>
      <c r="AC54" s="169">
        <v>2.7484753097409435E-2</v>
      </c>
      <c r="AD54" s="170">
        <v>2.9343489725855765E-2</v>
      </c>
      <c r="AE54" s="170">
        <v>2.8480935215611236E-2</v>
      </c>
      <c r="AF54" s="170">
        <v>2.89121220839752E-2</v>
      </c>
    </row>
    <row r="55" spans="2:32" x14ac:dyDescent="0.3">
      <c r="B55" s="1" t="s">
        <v>57</v>
      </c>
      <c r="C55" s="1" t="s">
        <v>58</v>
      </c>
      <c r="D55" s="1" t="s">
        <v>53</v>
      </c>
      <c r="E55" s="1" t="s">
        <v>51</v>
      </c>
      <c r="F55" s="5" t="str">
        <f t="shared" si="0"/>
        <v>Justice - Regional - $250 mil-$500 mil</v>
      </c>
      <c r="G55" s="168">
        <v>2.4974295838890697E-2</v>
      </c>
      <c r="H55" s="168">
        <v>2.6926336634001916E-2</v>
      </c>
      <c r="I55" s="168">
        <v>2.2470839846222893E-2</v>
      </c>
      <c r="J55" s="168">
        <v>2.6265048737585898E-2</v>
      </c>
      <c r="K55" s="168">
        <v>4.7568513907164649E-2</v>
      </c>
      <c r="L55" s="168">
        <v>1.6188294931773494E-2</v>
      </c>
      <c r="M55" s="168">
        <v>3.127737816582879E-2</v>
      </c>
      <c r="N55" s="168">
        <v>3.4792359871636376E-2</v>
      </c>
      <c r="O55" s="168">
        <v>3.5638227974499517E-2</v>
      </c>
      <c r="P55" s="168">
        <v>2.3090200048015899E-2</v>
      </c>
      <c r="Q55" s="168">
        <v>1.871191432246944E-2</v>
      </c>
      <c r="R55" s="168">
        <v>0.10786880669686824</v>
      </c>
      <c r="S55" s="168">
        <v>5.6316239858435924E-2</v>
      </c>
      <c r="T55" s="169">
        <v>1.8541783117671972E-2</v>
      </c>
      <c r="U55" s="169">
        <v>3.4499144559114771E-2</v>
      </c>
      <c r="V55" s="169">
        <v>3.2025215432995364E-2</v>
      </c>
      <c r="W55" s="169">
        <v>3.1379127923769644E-2</v>
      </c>
      <c r="X55" s="169">
        <v>3.0348108569922091E-2</v>
      </c>
      <c r="Y55" s="169">
        <v>2.9612369143584692E-2</v>
      </c>
      <c r="Z55" s="169">
        <v>2.8976718200934965E-2</v>
      </c>
      <c r="AA55" s="169">
        <v>2.8412242896552461E-2</v>
      </c>
      <c r="AB55" s="169">
        <v>2.7919972181469976E-2</v>
      </c>
      <c r="AC55" s="169">
        <v>2.7484753097409435E-2</v>
      </c>
      <c r="AD55" s="170">
        <v>2.9343489725855765E-2</v>
      </c>
      <c r="AE55" s="170">
        <v>2.8480935215611236E-2</v>
      </c>
      <c r="AF55" s="170">
        <v>2.89121220839752E-2</v>
      </c>
    </row>
    <row r="56" spans="2:32" x14ac:dyDescent="0.3">
      <c r="B56" s="1" t="s">
        <v>57</v>
      </c>
      <c r="C56" s="1" t="s">
        <v>58</v>
      </c>
      <c r="D56" s="1" t="s">
        <v>53</v>
      </c>
      <c r="E56" s="1" t="s">
        <v>23</v>
      </c>
      <c r="F56" s="5" t="str">
        <f t="shared" si="0"/>
        <v>Justice - Regional - $500 mil-$1 bn</v>
      </c>
      <c r="G56" s="168">
        <v>2.4974295838890697E-2</v>
      </c>
      <c r="H56" s="168">
        <v>2.6926336634001916E-2</v>
      </c>
      <c r="I56" s="168">
        <v>2.2470839846222893E-2</v>
      </c>
      <c r="J56" s="168">
        <v>2.6265048737585898E-2</v>
      </c>
      <c r="K56" s="168">
        <v>4.7568513907164649E-2</v>
      </c>
      <c r="L56" s="168">
        <v>1.6188294931773494E-2</v>
      </c>
      <c r="M56" s="168">
        <v>3.127737816582879E-2</v>
      </c>
      <c r="N56" s="168">
        <v>3.4792359871636376E-2</v>
      </c>
      <c r="O56" s="168">
        <v>3.5638227974499517E-2</v>
      </c>
      <c r="P56" s="168">
        <v>2.3090200048015899E-2</v>
      </c>
      <c r="Q56" s="168">
        <v>1.871191432246944E-2</v>
      </c>
      <c r="R56" s="168">
        <v>0.10786880669686824</v>
      </c>
      <c r="S56" s="168">
        <v>5.6316239858435924E-2</v>
      </c>
      <c r="T56" s="169">
        <v>1.8541783117671972E-2</v>
      </c>
      <c r="U56" s="169">
        <v>3.4499144559114771E-2</v>
      </c>
      <c r="V56" s="169">
        <v>3.2025215432995364E-2</v>
      </c>
      <c r="W56" s="169">
        <v>3.1379127923769644E-2</v>
      </c>
      <c r="X56" s="169">
        <v>3.0348108569922091E-2</v>
      </c>
      <c r="Y56" s="169">
        <v>2.9612369143584692E-2</v>
      </c>
      <c r="Z56" s="169">
        <v>2.8976718200934965E-2</v>
      </c>
      <c r="AA56" s="169">
        <v>2.8412242896552461E-2</v>
      </c>
      <c r="AB56" s="169">
        <v>2.7919972181469976E-2</v>
      </c>
      <c r="AC56" s="169">
        <v>2.7484753097409435E-2</v>
      </c>
      <c r="AD56" s="170">
        <v>2.9343489725855765E-2</v>
      </c>
      <c r="AE56" s="170">
        <v>2.8480935215611236E-2</v>
      </c>
      <c r="AF56" s="170">
        <v>2.89121220839752E-2</v>
      </c>
    </row>
    <row r="57" spans="2:32" x14ac:dyDescent="0.3">
      <c r="B57" s="1" t="s">
        <v>57</v>
      </c>
      <c r="C57" s="1" t="s">
        <v>58</v>
      </c>
      <c r="D57" s="1" t="s">
        <v>53</v>
      </c>
      <c r="E57" s="1" t="s">
        <v>52</v>
      </c>
      <c r="F57" s="5" t="str">
        <f t="shared" si="0"/>
        <v>Justice - Regional - $1 bn-$5 bn</v>
      </c>
      <c r="G57" s="168">
        <v>2.4974295838890697E-2</v>
      </c>
      <c r="H57" s="168">
        <v>2.6926336634001916E-2</v>
      </c>
      <c r="I57" s="168">
        <v>2.2470839846222893E-2</v>
      </c>
      <c r="J57" s="168">
        <v>2.6265048737585898E-2</v>
      </c>
      <c r="K57" s="168">
        <v>4.7568513907164649E-2</v>
      </c>
      <c r="L57" s="168">
        <v>1.6188294931773494E-2</v>
      </c>
      <c r="M57" s="168">
        <v>3.127737816582879E-2</v>
      </c>
      <c r="N57" s="168">
        <v>3.4792359871636376E-2</v>
      </c>
      <c r="O57" s="168">
        <v>3.5638227974499517E-2</v>
      </c>
      <c r="P57" s="168">
        <v>2.3090200048015899E-2</v>
      </c>
      <c r="Q57" s="168">
        <v>1.871191432246944E-2</v>
      </c>
      <c r="R57" s="168">
        <v>0.10786880669686824</v>
      </c>
      <c r="S57" s="168">
        <v>5.6316239858435924E-2</v>
      </c>
      <c r="T57" s="169">
        <v>1.8541783117671972E-2</v>
      </c>
      <c r="U57" s="169">
        <v>3.4499144559114771E-2</v>
      </c>
      <c r="V57" s="169">
        <v>3.2025215432995364E-2</v>
      </c>
      <c r="W57" s="169">
        <v>3.1379127923769644E-2</v>
      </c>
      <c r="X57" s="169">
        <v>3.0348108569922091E-2</v>
      </c>
      <c r="Y57" s="169">
        <v>2.9612369143584692E-2</v>
      </c>
      <c r="Z57" s="169">
        <v>2.8976718200934965E-2</v>
      </c>
      <c r="AA57" s="169">
        <v>2.8412242896552461E-2</v>
      </c>
      <c r="AB57" s="169">
        <v>2.7919972181469976E-2</v>
      </c>
      <c r="AC57" s="169">
        <v>2.7484753097409435E-2</v>
      </c>
      <c r="AD57" s="170">
        <v>2.9343489725855765E-2</v>
      </c>
      <c r="AE57" s="170">
        <v>2.8480935215611236E-2</v>
      </c>
      <c r="AF57" s="170">
        <v>2.89121220839752E-2</v>
      </c>
    </row>
    <row r="58" spans="2:32" x14ac:dyDescent="0.3">
      <c r="B58" s="1" t="s">
        <v>57</v>
      </c>
      <c r="C58" s="1" t="s">
        <v>58</v>
      </c>
      <c r="D58" s="1" t="s">
        <v>53</v>
      </c>
      <c r="E58" s="1" t="s">
        <v>28</v>
      </c>
      <c r="F58" s="5" t="str">
        <f t="shared" si="0"/>
        <v>Justice - Regional - &gt;$5 bn</v>
      </c>
      <c r="G58" s="168">
        <v>2.4974295838890697E-2</v>
      </c>
      <c r="H58" s="168">
        <v>2.6926336634001916E-2</v>
      </c>
      <c r="I58" s="168">
        <v>2.2470839846222893E-2</v>
      </c>
      <c r="J58" s="168">
        <v>2.6265048737585898E-2</v>
      </c>
      <c r="K58" s="168">
        <v>4.7568513907164649E-2</v>
      </c>
      <c r="L58" s="168">
        <v>1.6188294931773494E-2</v>
      </c>
      <c r="M58" s="168">
        <v>3.127737816582879E-2</v>
      </c>
      <c r="N58" s="168">
        <v>3.4792359871636376E-2</v>
      </c>
      <c r="O58" s="168">
        <v>3.5638227974499517E-2</v>
      </c>
      <c r="P58" s="168">
        <v>2.3090200048015899E-2</v>
      </c>
      <c r="Q58" s="168">
        <v>1.871191432246944E-2</v>
      </c>
      <c r="R58" s="168">
        <v>0.10786880669686824</v>
      </c>
      <c r="S58" s="168">
        <v>5.6316239858435924E-2</v>
      </c>
      <c r="T58" s="169">
        <v>1.8541783117671972E-2</v>
      </c>
      <c r="U58" s="169">
        <v>3.4499144559114771E-2</v>
      </c>
      <c r="V58" s="169">
        <v>3.2025215432995364E-2</v>
      </c>
      <c r="W58" s="169">
        <v>3.1379127923769644E-2</v>
      </c>
      <c r="X58" s="169">
        <v>3.0348108569922091E-2</v>
      </c>
      <c r="Y58" s="169">
        <v>2.9612369143584692E-2</v>
      </c>
      <c r="Z58" s="169">
        <v>2.8976718200934965E-2</v>
      </c>
      <c r="AA58" s="169">
        <v>2.8412242896552461E-2</v>
      </c>
      <c r="AB58" s="169">
        <v>2.7919972181469976E-2</v>
      </c>
      <c r="AC58" s="169">
        <v>2.7484753097409435E-2</v>
      </c>
      <c r="AD58" s="170">
        <v>2.9343489725855765E-2</v>
      </c>
      <c r="AE58" s="170">
        <v>2.8480935215611236E-2</v>
      </c>
      <c r="AF58" s="170">
        <v>2.89121220839752E-2</v>
      </c>
    </row>
    <row r="59" spans="2:32" x14ac:dyDescent="0.3">
      <c r="B59" s="1" t="s">
        <v>57</v>
      </c>
      <c r="C59" s="1" t="s">
        <v>59</v>
      </c>
      <c r="D59" s="1" t="s">
        <v>22</v>
      </c>
      <c r="E59" s="1" t="s">
        <v>50</v>
      </c>
      <c r="F59" s="5" t="str">
        <f t="shared" si="0"/>
        <v>Culture, sport &amp; community - Metro - &lt;$250 mil</v>
      </c>
      <c r="G59" s="168">
        <v>3.0668653215021352E-2</v>
      </c>
      <c r="H59" s="168">
        <v>2.7921286578732812E-2</v>
      </c>
      <c r="I59" s="168">
        <v>2.6099965465702479E-2</v>
      </c>
      <c r="J59" s="168">
        <v>2.8418920796885537E-2</v>
      </c>
      <c r="K59" s="168">
        <v>3.8309407030701355E-2</v>
      </c>
      <c r="L59" s="168">
        <v>2.0339266785537078E-2</v>
      </c>
      <c r="M59" s="168">
        <v>2.9082898628341101E-2</v>
      </c>
      <c r="N59" s="168">
        <v>3.7816926516755119E-2</v>
      </c>
      <c r="O59" s="168">
        <v>3.2427442600355356E-2</v>
      </c>
      <c r="P59" s="168">
        <v>2.0490867242752616E-2</v>
      </c>
      <c r="Q59" s="168">
        <v>2.3166425596199011E-2</v>
      </c>
      <c r="R59" s="168">
        <v>8.7818821476923103E-2</v>
      </c>
      <c r="S59" s="168">
        <v>5.4307856868232945E-2</v>
      </c>
      <c r="T59" s="169">
        <v>2.6279154499407861E-2</v>
      </c>
      <c r="U59" s="169">
        <v>3.7651012949739833E-2</v>
      </c>
      <c r="V59" s="169">
        <v>3.5079760800201497E-2</v>
      </c>
      <c r="W59" s="169">
        <v>3.3304736357617201E-2</v>
      </c>
      <c r="X59" s="169">
        <v>3.1901391059663851E-2</v>
      </c>
      <c r="Y59" s="169">
        <v>3.1147372420469954E-2</v>
      </c>
      <c r="Z59" s="169">
        <v>3.0476014751015898E-2</v>
      </c>
      <c r="AA59" s="169">
        <v>2.982750489748948E-2</v>
      </c>
      <c r="AB59" s="169">
        <v>2.9285467334179648E-2</v>
      </c>
      <c r="AC59" s="169">
        <v>2.8833567218304112E-2</v>
      </c>
      <c r="AD59" s="170">
        <v>3.2836200490391265E-2</v>
      </c>
      <c r="AE59" s="170">
        <v>2.9913654560050462E-2</v>
      </c>
      <c r="AF59" s="170">
        <v>3.1373892344078946E-2</v>
      </c>
    </row>
    <row r="60" spans="2:32" x14ac:dyDescent="0.3">
      <c r="B60" s="1" t="s">
        <v>57</v>
      </c>
      <c r="C60" s="1" t="s">
        <v>59</v>
      </c>
      <c r="D60" s="1" t="s">
        <v>22</v>
      </c>
      <c r="E60" s="1" t="s">
        <v>51</v>
      </c>
      <c r="F60" s="5" t="str">
        <f t="shared" si="0"/>
        <v>Culture, sport &amp; community - Metro - $250 mil-$500 mil</v>
      </c>
      <c r="G60" s="168">
        <v>3.0668653215021352E-2</v>
      </c>
      <c r="H60" s="168">
        <v>2.7921286578732812E-2</v>
      </c>
      <c r="I60" s="168">
        <v>2.6099965465702479E-2</v>
      </c>
      <c r="J60" s="168">
        <v>2.8418920796885537E-2</v>
      </c>
      <c r="K60" s="168">
        <v>3.8309407030701355E-2</v>
      </c>
      <c r="L60" s="168">
        <v>2.0339266785537078E-2</v>
      </c>
      <c r="M60" s="168">
        <v>2.9082898628341101E-2</v>
      </c>
      <c r="N60" s="168">
        <v>3.7816926516755119E-2</v>
      </c>
      <c r="O60" s="168">
        <v>3.2427442600355356E-2</v>
      </c>
      <c r="P60" s="168">
        <v>2.0490867242752616E-2</v>
      </c>
      <c r="Q60" s="168">
        <v>2.3166425596199011E-2</v>
      </c>
      <c r="R60" s="168">
        <v>8.7818821476923103E-2</v>
      </c>
      <c r="S60" s="168">
        <v>5.4307856868232945E-2</v>
      </c>
      <c r="T60" s="169">
        <v>2.6279154499407861E-2</v>
      </c>
      <c r="U60" s="169">
        <v>3.7651012949739833E-2</v>
      </c>
      <c r="V60" s="169">
        <v>3.5079760800201497E-2</v>
      </c>
      <c r="W60" s="169">
        <v>3.3304736357617201E-2</v>
      </c>
      <c r="X60" s="169">
        <v>3.1901391059663851E-2</v>
      </c>
      <c r="Y60" s="169">
        <v>3.1147372420469954E-2</v>
      </c>
      <c r="Z60" s="169">
        <v>3.0476014751015898E-2</v>
      </c>
      <c r="AA60" s="169">
        <v>2.982750489748948E-2</v>
      </c>
      <c r="AB60" s="169">
        <v>2.9285467334179648E-2</v>
      </c>
      <c r="AC60" s="169">
        <v>2.8833567218304112E-2</v>
      </c>
      <c r="AD60" s="170">
        <v>3.2836200490391265E-2</v>
      </c>
      <c r="AE60" s="170">
        <v>2.9913654560050462E-2</v>
      </c>
      <c r="AF60" s="170">
        <v>3.1373892344078946E-2</v>
      </c>
    </row>
    <row r="61" spans="2:32" x14ac:dyDescent="0.3">
      <c r="B61" s="1" t="s">
        <v>57</v>
      </c>
      <c r="C61" s="1" t="s">
        <v>59</v>
      </c>
      <c r="D61" s="1" t="s">
        <v>22</v>
      </c>
      <c r="E61" s="1" t="s">
        <v>23</v>
      </c>
      <c r="F61" s="5" t="str">
        <f t="shared" si="0"/>
        <v>Culture, sport &amp; community - Metro - $500 mil-$1 bn</v>
      </c>
      <c r="G61" s="168">
        <v>3.0668653215021352E-2</v>
      </c>
      <c r="H61" s="168">
        <v>2.7921286578732812E-2</v>
      </c>
      <c r="I61" s="168">
        <v>2.6099965465702479E-2</v>
      </c>
      <c r="J61" s="168">
        <v>2.8418920796885537E-2</v>
      </c>
      <c r="K61" s="168">
        <v>3.8309407030701355E-2</v>
      </c>
      <c r="L61" s="168">
        <v>2.0339266785537078E-2</v>
      </c>
      <c r="M61" s="168">
        <v>2.9082898628341101E-2</v>
      </c>
      <c r="N61" s="168">
        <v>3.7816926516755119E-2</v>
      </c>
      <c r="O61" s="168">
        <v>3.2427442600355356E-2</v>
      </c>
      <c r="P61" s="168">
        <v>2.0490867242752616E-2</v>
      </c>
      <c r="Q61" s="168">
        <v>2.3166425596199011E-2</v>
      </c>
      <c r="R61" s="168">
        <v>8.7818821476923103E-2</v>
      </c>
      <c r="S61" s="168">
        <v>5.4307856868232945E-2</v>
      </c>
      <c r="T61" s="169">
        <v>2.6279154499407861E-2</v>
      </c>
      <c r="U61" s="169">
        <v>3.7651012949739833E-2</v>
      </c>
      <c r="V61" s="169">
        <v>3.5079760800201497E-2</v>
      </c>
      <c r="W61" s="169">
        <v>3.3304736357617201E-2</v>
      </c>
      <c r="X61" s="169">
        <v>3.1901391059663851E-2</v>
      </c>
      <c r="Y61" s="169">
        <v>3.1147372420469954E-2</v>
      </c>
      <c r="Z61" s="169">
        <v>3.0476014751015898E-2</v>
      </c>
      <c r="AA61" s="169">
        <v>2.982750489748948E-2</v>
      </c>
      <c r="AB61" s="169">
        <v>2.9285467334179648E-2</v>
      </c>
      <c r="AC61" s="169">
        <v>2.8833567218304112E-2</v>
      </c>
      <c r="AD61" s="170">
        <v>3.2836200490391265E-2</v>
      </c>
      <c r="AE61" s="170">
        <v>2.9913654560050462E-2</v>
      </c>
      <c r="AF61" s="170">
        <v>3.1373892344078946E-2</v>
      </c>
    </row>
    <row r="62" spans="2:32" x14ac:dyDescent="0.3">
      <c r="B62" s="1" t="s">
        <v>57</v>
      </c>
      <c r="C62" s="1" t="s">
        <v>59</v>
      </c>
      <c r="D62" s="1" t="s">
        <v>22</v>
      </c>
      <c r="E62" s="1" t="s">
        <v>52</v>
      </c>
      <c r="F62" s="5" t="str">
        <f t="shared" si="0"/>
        <v>Culture, sport &amp; community - Metro - $1 bn-$5 bn</v>
      </c>
      <c r="G62" s="168">
        <v>3.0668653215021352E-2</v>
      </c>
      <c r="H62" s="168">
        <v>2.7921286578732812E-2</v>
      </c>
      <c r="I62" s="168">
        <v>2.6099965465702479E-2</v>
      </c>
      <c r="J62" s="168">
        <v>2.8418920796885537E-2</v>
      </c>
      <c r="K62" s="168">
        <v>3.8309407030701355E-2</v>
      </c>
      <c r="L62" s="168">
        <v>2.0339266785537078E-2</v>
      </c>
      <c r="M62" s="168">
        <v>2.9082898628341101E-2</v>
      </c>
      <c r="N62" s="168">
        <v>3.7816926516755119E-2</v>
      </c>
      <c r="O62" s="168">
        <v>3.2427442600355356E-2</v>
      </c>
      <c r="P62" s="168">
        <v>2.0490867242752616E-2</v>
      </c>
      <c r="Q62" s="168">
        <v>2.3166425596199011E-2</v>
      </c>
      <c r="R62" s="168">
        <v>8.7818821476923103E-2</v>
      </c>
      <c r="S62" s="168">
        <v>5.4307856868232945E-2</v>
      </c>
      <c r="T62" s="169">
        <v>2.6279154499407861E-2</v>
      </c>
      <c r="U62" s="169">
        <v>3.7651012949739833E-2</v>
      </c>
      <c r="V62" s="169">
        <v>3.5079760800201497E-2</v>
      </c>
      <c r="W62" s="169">
        <v>3.3304736357617201E-2</v>
      </c>
      <c r="X62" s="169">
        <v>3.1901391059663851E-2</v>
      </c>
      <c r="Y62" s="169">
        <v>3.1147372420469954E-2</v>
      </c>
      <c r="Z62" s="169">
        <v>3.0476014751015898E-2</v>
      </c>
      <c r="AA62" s="169">
        <v>2.982750489748948E-2</v>
      </c>
      <c r="AB62" s="169">
        <v>2.9285467334179648E-2</v>
      </c>
      <c r="AC62" s="169">
        <v>2.8833567218304112E-2</v>
      </c>
      <c r="AD62" s="170">
        <v>3.2836200490391265E-2</v>
      </c>
      <c r="AE62" s="170">
        <v>2.9913654560050462E-2</v>
      </c>
      <c r="AF62" s="170">
        <v>3.1373892344078946E-2</v>
      </c>
    </row>
    <row r="63" spans="2:32" x14ac:dyDescent="0.3">
      <c r="B63" s="1" t="s">
        <v>57</v>
      </c>
      <c r="C63" s="1" t="s">
        <v>59</v>
      </c>
      <c r="D63" s="1" t="s">
        <v>22</v>
      </c>
      <c r="E63" s="1" t="s">
        <v>28</v>
      </c>
      <c r="F63" s="5" t="str">
        <f t="shared" si="0"/>
        <v>Culture, sport &amp; community - Metro - &gt;$5 bn</v>
      </c>
      <c r="G63" s="168">
        <v>3.0668653215021352E-2</v>
      </c>
      <c r="H63" s="168">
        <v>2.7921286578732812E-2</v>
      </c>
      <c r="I63" s="168">
        <v>2.6099965465702479E-2</v>
      </c>
      <c r="J63" s="168">
        <v>2.8418920796885537E-2</v>
      </c>
      <c r="K63" s="168">
        <v>3.8309407030701355E-2</v>
      </c>
      <c r="L63" s="168">
        <v>2.0339266785537078E-2</v>
      </c>
      <c r="M63" s="168">
        <v>2.9082898628341101E-2</v>
      </c>
      <c r="N63" s="168">
        <v>3.7816926516755119E-2</v>
      </c>
      <c r="O63" s="168">
        <v>3.2427442600355356E-2</v>
      </c>
      <c r="P63" s="168">
        <v>2.0490867242752616E-2</v>
      </c>
      <c r="Q63" s="168">
        <v>2.3166425596199011E-2</v>
      </c>
      <c r="R63" s="168">
        <v>8.7818821476923103E-2</v>
      </c>
      <c r="S63" s="168">
        <v>5.4307856868232945E-2</v>
      </c>
      <c r="T63" s="169">
        <v>2.6279154499407861E-2</v>
      </c>
      <c r="U63" s="169">
        <v>3.7651012949739833E-2</v>
      </c>
      <c r="V63" s="169">
        <v>3.5079760800201497E-2</v>
      </c>
      <c r="W63" s="169">
        <v>3.3304736357617201E-2</v>
      </c>
      <c r="X63" s="169">
        <v>3.1901391059663851E-2</v>
      </c>
      <c r="Y63" s="169">
        <v>3.1147372420469954E-2</v>
      </c>
      <c r="Z63" s="169">
        <v>3.0476014751015898E-2</v>
      </c>
      <c r="AA63" s="169">
        <v>2.982750489748948E-2</v>
      </c>
      <c r="AB63" s="169">
        <v>2.9285467334179648E-2</v>
      </c>
      <c r="AC63" s="169">
        <v>2.8833567218304112E-2</v>
      </c>
      <c r="AD63" s="170">
        <v>3.2836200490391265E-2</v>
      </c>
      <c r="AE63" s="170">
        <v>2.9913654560050462E-2</v>
      </c>
      <c r="AF63" s="170">
        <v>3.1373892344078946E-2</v>
      </c>
    </row>
    <row r="64" spans="2:32" x14ac:dyDescent="0.3">
      <c r="B64" s="1" t="s">
        <v>57</v>
      </c>
      <c r="C64" s="1" t="s">
        <v>59</v>
      </c>
      <c r="D64" s="1" t="s">
        <v>53</v>
      </c>
      <c r="E64" s="1" t="s">
        <v>50</v>
      </c>
      <c r="F64" s="5" t="str">
        <f t="shared" si="0"/>
        <v>Culture, sport &amp; community - Regional - &lt;$250 mil</v>
      </c>
      <c r="G64" s="168">
        <v>3.0668653215021352E-2</v>
      </c>
      <c r="H64" s="168">
        <v>2.7921286578732812E-2</v>
      </c>
      <c r="I64" s="168">
        <v>2.6099965465702479E-2</v>
      </c>
      <c r="J64" s="168">
        <v>2.8418920796885537E-2</v>
      </c>
      <c r="K64" s="168">
        <v>3.8309407030701355E-2</v>
      </c>
      <c r="L64" s="168">
        <v>2.0339266785537078E-2</v>
      </c>
      <c r="M64" s="168">
        <v>2.9082898628341101E-2</v>
      </c>
      <c r="N64" s="168">
        <v>3.7816926516755119E-2</v>
      </c>
      <c r="O64" s="168">
        <v>3.2427442600355356E-2</v>
      </c>
      <c r="P64" s="168">
        <v>2.0490867242752616E-2</v>
      </c>
      <c r="Q64" s="168">
        <v>2.3166425596199011E-2</v>
      </c>
      <c r="R64" s="168">
        <v>8.7818821476923103E-2</v>
      </c>
      <c r="S64" s="168">
        <v>5.4307856868232945E-2</v>
      </c>
      <c r="T64" s="169">
        <v>2.6279154499407861E-2</v>
      </c>
      <c r="U64" s="169">
        <v>3.7651012949739833E-2</v>
      </c>
      <c r="V64" s="169">
        <v>3.5079760800201497E-2</v>
      </c>
      <c r="W64" s="169">
        <v>3.3304736357617201E-2</v>
      </c>
      <c r="X64" s="169">
        <v>3.1901391059663851E-2</v>
      </c>
      <c r="Y64" s="169">
        <v>3.1147372420469954E-2</v>
      </c>
      <c r="Z64" s="169">
        <v>3.0476014751015898E-2</v>
      </c>
      <c r="AA64" s="169">
        <v>2.982750489748948E-2</v>
      </c>
      <c r="AB64" s="169">
        <v>2.9285467334179648E-2</v>
      </c>
      <c r="AC64" s="169">
        <v>2.8833567218304112E-2</v>
      </c>
      <c r="AD64" s="170">
        <v>3.2836200490391265E-2</v>
      </c>
      <c r="AE64" s="170">
        <v>2.9913654560050462E-2</v>
      </c>
      <c r="AF64" s="170">
        <v>3.1373892344078946E-2</v>
      </c>
    </row>
    <row r="65" spans="2:32" x14ac:dyDescent="0.3">
      <c r="B65" s="1" t="s">
        <v>57</v>
      </c>
      <c r="C65" s="1" t="s">
        <v>59</v>
      </c>
      <c r="D65" s="1" t="s">
        <v>53</v>
      </c>
      <c r="E65" s="1" t="s">
        <v>51</v>
      </c>
      <c r="F65" s="5" t="str">
        <f t="shared" si="0"/>
        <v>Culture, sport &amp; community - Regional - $250 mil-$500 mil</v>
      </c>
      <c r="G65" s="168">
        <v>3.0668653215021352E-2</v>
      </c>
      <c r="H65" s="168">
        <v>2.7921286578732812E-2</v>
      </c>
      <c r="I65" s="168">
        <v>2.6099965465702479E-2</v>
      </c>
      <c r="J65" s="168">
        <v>2.8418920796885537E-2</v>
      </c>
      <c r="K65" s="168">
        <v>3.8309407030701355E-2</v>
      </c>
      <c r="L65" s="168">
        <v>2.0339266785537078E-2</v>
      </c>
      <c r="M65" s="168">
        <v>2.9082898628341101E-2</v>
      </c>
      <c r="N65" s="168">
        <v>3.7816926516755119E-2</v>
      </c>
      <c r="O65" s="168">
        <v>3.2427442600355356E-2</v>
      </c>
      <c r="P65" s="168">
        <v>2.0490867242752616E-2</v>
      </c>
      <c r="Q65" s="168">
        <v>2.3166425596199011E-2</v>
      </c>
      <c r="R65" s="168">
        <v>8.7818821476923103E-2</v>
      </c>
      <c r="S65" s="168">
        <v>5.4307856868232945E-2</v>
      </c>
      <c r="T65" s="169">
        <v>2.6279154499407861E-2</v>
      </c>
      <c r="U65" s="169">
        <v>3.7651012949739833E-2</v>
      </c>
      <c r="V65" s="169">
        <v>3.5079760800201497E-2</v>
      </c>
      <c r="W65" s="169">
        <v>3.3304736357617201E-2</v>
      </c>
      <c r="X65" s="169">
        <v>3.1901391059663851E-2</v>
      </c>
      <c r="Y65" s="169">
        <v>3.1147372420469954E-2</v>
      </c>
      <c r="Z65" s="169">
        <v>3.0476014751015898E-2</v>
      </c>
      <c r="AA65" s="169">
        <v>2.982750489748948E-2</v>
      </c>
      <c r="AB65" s="169">
        <v>2.9285467334179648E-2</v>
      </c>
      <c r="AC65" s="169">
        <v>2.8833567218304112E-2</v>
      </c>
      <c r="AD65" s="170">
        <v>3.2836200490391265E-2</v>
      </c>
      <c r="AE65" s="170">
        <v>2.9913654560050462E-2</v>
      </c>
      <c r="AF65" s="170">
        <v>3.1373892344078946E-2</v>
      </c>
    </row>
    <row r="66" spans="2:32" x14ac:dyDescent="0.3">
      <c r="B66" s="1" t="s">
        <v>57</v>
      </c>
      <c r="C66" s="1" t="s">
        <v>59</v>
      </c>
      <c r="D66" s="1" t="s">
        <v>53</v>
      </c>
      <c r="E66" s="1" t="s">
        <v>23</v>
      </c>
      <c r="F66" s="5" t="str">
        <f t="shared" si="0"/>
        <v>Culture, sport &amp; community - Regional - $500 mil-$1 bn</v>
      </c>
      <c r="G66" s="168">
        <v>3.0668653215021352E-2</v>
      </c>
      <c r="H66" s="168">
        <v>2.7921286578732812E-2</v>
      </c>
      <c r="I66" s="168">
        <v>2.6099965465702479E-2</v>
      </c>
      <c r="J66" s="168">
        <v>2.8418920796885537E-2</v>
      </c>
      <c r="K66" s="168">
        <v>3.8309407030701355E-2</v>
      </c>
      <c r="L66" s="168">
        <v>2.0339266785537078E-2</v>
      </c>
      <c r="M66" s="168">
        <v>2.9082898628341101E-2</v>
      </c>
      <c r="N66" s="168">
        <v>3.7816926516755119E-2</v>
      </c>
      <c r="O66" s="168">
        <v>3.2427442600355356E-2</v>
      </c>
      <c r="P66" s="168">
        <v>2.0490867242752616E-2</v>
      </c>
      <c r="Q66" s="168">
        <v>2.3166425596199011E-2</v>
      </c>
      <c r="R66" s="168">
        <v>8.7818821476923103E-2</v>
      </c>
      <c r="S66" s="168">
        <v>5.4307856868232945E-2</v>
      </c>
      <c r="T66" s="169">
        <v>2.6279154499407861E-2</v>
      </c>
      <c r="U66" s="169">
        <v>3.7651012949739833E-2</v>
      </c>
      <c r="V66" s="169">
        <v>3.5079760800201497E-2</v>
      </c>
      <c r="W66" s="169">
        <v>3.3304736357617201E-2</v>
      </c>
      <c r="X66" s="169">
        <v>3.1901391059663851E-2</v>
      </c>
      <c r="Y66" s="169">
        <v>3.1147372420469954E-2</v>
      </c>
      <c r="Z66" s="169">
        <v>3.0476014751015898E-2</v>
      </c>
      <c r="AA66" s="169">
        <v>2.982750489748948E-2</v>
      </c>
      <c r="AB66" s="169">
        <v>2.9285467334179648E-2</v>
      </c>
      <c r="AC66" s="169">
        <v>2.8833567218304112E-2</v>
      </c>
      <c r="AD66" s="170">
        <v>3.2836200490391265E-2</v>
      </c>
      <c r="AE66" s="170">
        <v>2.9913654560050462E-2</v>
      </c>
      <c r="AF66" s="170">
        <v>3.1373892344078946E-2</v>
      </c>
    </row>
    <row r="67" spans="2:32" x14ac:dyDescent="0.3">
      <c r="B67" s="1" t="s">
        <v>57</v>
      </c>
      <c r="C67" s="1" t="s">
        <v>59</v>
      </c>
      <c r="D67" s="1" t="s">
        <v>53</v>
      </c>
      <c r="E67" s="1" t="s">
        <v>52</v>
      </c>
      <c r="F67" s="5" t="str">
        <f t="shared" si="0"/>
        <v>Culture, sport &amp; community - Regional - $1 bn-$5 bn</v>
      </c>
      <c r="G67" s="168">
        <v>3.0668653215021352E-2</v>
      </c>
      <c r="H67" s="168">
        <v>2.7921286578732812E-2</v>
      </c>
      <c r="I67" s="168">
        <v>2.6099965465702479E-2</v>
      </c>
      <c r="J67" s="168">
        <v>2.8418920796885537E-2</v>
      </c>
      <c r="K67" s="168">
        <v>3.8309407030701355E-2</v>
      </c>
      <c r="L67" s="168">
        <v>2.0339266785537078E-2</v>
      </c>
      <c r="M67" s="168">
        <v>2.9082898628341101E-2</v>
      </c>
      <c r="N67" s="168">
        <v>3.7816926516755119E-2</v>
      </c>
      <c r="O67" s="168">
        <v>3.2427442600355356E-2</v>
      </c>
      <c r="P67" s="168">
        <v>2.0490867242752616E-2</v>
      </c>
      <c r="Q67" s="168">
        <v>2.3166425596199011E-2</v>
      </c>
      <c r="R67" s="168">
        <v>8.7818821476923103E-2</v>
      </c>
      <c r="S67" s="168">
        <v>5.4307856868232945E-2</v>
      </c>
      <c r="T67" s="169">
        <v>2.6279154499407861E-2</v>
      </c>
      <c r="U67" s="169">
        <v>3.7651012949739833E-2</v>
      </c>
      <c r="V67" s="169">
        <v>3.5079760800201497E-2</v>
      </c>
      <c r="W67" s="169">
        <v>3.3304736357617201E-2</v>
      </c>
      <c r="X67" s="169">
        <v>3.1901391059663851E-2</v>
      </c>
      <c r="Y67" s="169">
        <v>3.1147372420469954E-2</v>
      </c>
      <c r="Z67" s="169">
        <v>3.0476014751015898E-2</v>
      </c>
      <c r="AA67" s="169">
        <v>2.982750489748948E-2</v>
      </c>
      <c r="AB67" s="169">
        <v>2.9285467334179648E-2</v>
      </c>
      <c r="AC67" s="169">
        <v>2.8833567218304112E-2</v>
      </c>
      <c r="AD67" s="170">
        <v>3.2836200490391265E-2</v>
      </c>
      <c r="AE67" s="170">
        <v>2.9913654560050462E-2</v>
      </c>
      <c r="AF67" s="170">
        <v>3.1373892344078946E-2</v>
      </c>
    </row>
    <row r="68" spans="2:32" x14ac:dyDescent="0.3">
      <c r="B68" s="1" t="s">
        <v>57</v>
      </c>
      <c r="C68" s="1" t="s">
        <v>59</v>
      </c>
      <c r="D68" s="1" t="s">
        <v>53</v>
      </c>
      <c r="E68" s="1" t="s">
        <v>28</v>
      </c>
      <c r="F68" s="5" t="str">
        <f t="shared" si="0"/>
        <v>Culture, sport &amp; community - Regional - &gt;$5 bn</v>
      </c>
      <c r="G68" s="168">
        <v>3.0668653215021352E-2</v>
      </c>
      <c r="H68" s="168">
        <v>2.7921286578732812E-2</v>
      </c>
      <c r="I68" s="168">
        <v>2.6099965465702479E-2</v>
      </c>
      <c r="J68" s="168">
        <v>2.8418920796885537E-2</v>
      </c>
      <c r="K68" s="168">
        <v>3.8309407030701355E-2</v>
      </c>
      <c r="L68" s="168">
        <v>2.0339266785537078E-2</v>
      </c>
      <c r="M68" s="168">
        <v>2.9082898628341101E-2</v>
      </c>
      <c r="N68" s="168">
        <v>3.7816926516755119E-2</v>
      </c>
      <c r="O68" s="168">
        <v>3.2427442600355356E-2</v>
      </c>
      <c r="P68" s="168">
        <v>2.0490867242752616E-2</v>
      </c>
      <c r="Q68" s="168">
        <v>2.3166425596199011E-2</v>
      </c>
      <c r="R68" s="168">
        <v>8.7818821476923103E-2</v>
      </c>
      <c r="S68" s="168">
        <v>5.4307856868232945E-2</v>
      </c>
      <c r="T68" s="169">
        <v>2.6279154499407861E-2</v>
      </c>
      <c r="U68" s="169">
        <v>3.7651012949739833E-2</v>
      </c>
      <c r="V68" s="169">
        <v>3.5079760800201497E-2</v>
      </c>
      <c r="W68" s="169">
        <v>3.3304736357617201E-2</v>
      </c>
      <c r="X68" s="169">
        <v>3.1901391059663851E-2</v>
      </c>
      <c r="Y68" s="169">
        <v>3.1147372420469954E-2</v>
      </c>
      <c r="Z68" s="169">
        <v>3.0476014751015898E-2</v>
      </c>
      <c r="AA68" s="169">
        <v>2.982750489748948E-2</v>
      </c>
      <c r="AB68" s="169">
        <v>2.9285467334179648E-2</v>
      </c>
      <c r="AC68" s="169">
        <v>2.8833567218304112E-2</v>
      </c>
      <c r="AD68" s="170">
        <v>3.2836200490391265E-2</v>
      </c>
      <c r="AE68" s="170">
        <v>2.9913654560050462E-2</v>
      </c>
      <c r="AF68" s="170">
        <v>3.1373892344078946E-2</v>
      </c>
    </row>
    <row r="69" spans="2:32" x14ac:dyDescent="0.3">
      <c r="B69" s="1" t="s">
        <v>57</v>
      </c>
      <c r="C69" s="1" t="s">
        <v>60</v>
      </c>
      <c r="D69" s="1" t="s">
        <v>22</v>
      </c>
      <c r="E69" s="1" t="s">
        <v>50</v>
      </c>
      <c r="F69" s="5" t="str">
        <f t="shared" si="0"/>
        <v>Social housing - Metro - &lt;$250 mil</v>
      </c>
      <c r="G69" s="168">
        <v>2.5267075208362289E-2</v>
      </c>
      <c r="H69" s="168">
        <v>2.577908478354269E-2</v>
      </c>
      <c r="I69" s="168">
        <v>2.4103625316370541E-2</v>
      </c>
      <c r="J69" s="168">
        <v>2.4424759503902486E-2</v>
      </c>
      <c r="K69" s="168">
        <v>4.6145753631793442E-2</v>
      </c>
      <c r="L69" s="168">
        <v>2.1794768917469679E-2</v>
      </c>
      <c r="M69" s="168">
        <v>3.1992459215579493E-2</v>
      </c>
      <c r="N69" s="168">
        <v>3.4863472442244269E-2</v>
      </c>
      <c r="O69" s="168">
        <v>3.3436911805832387E-2</v>
      </c>
      <c r="P69" s="168">
        <v>1.9330634587715122E-2</v>
      </c>
      <c r="Q69" s="168">
        <v>1.9979677602588869E-2</v>
      </c>
      <c r="R69" s="168">
        <v>0.10435693861182149</v>
      </c>
      <c r="S69" s="168">
        <v>5.7901651963262586E-2</v>
      </c>
      <c r="T69" s="169">
        <v>1.8916175718261683E-2</v>
      </c>
      <c r="U69" s="169">
        <v>3.3356696788899555E-2</v>
      </c>
      <c r="V69" s="169">
        <v>3.3278482217326467E-2</v>
      </c>
      <c r="W69" s="169">
        <v>3.2463153671000076E-2</v>
      </c>
      <c r="X69" s="169">
        <v>3.1055971696917133E-2</v>
      </c>
      <c r="Y69" s="169">
        <v>3.0240970970361512E-2</v>
      </c>
      <c r="Z69" s="169">
        <v>2.9533942473824674E-2</v>
      </c>
      <c r="AA69" s="169">
        <v>2.8875771409431025E-2</v>
      </c>
      <c r="AB69" s="169">
        <v>2.8317411361917601E-2</v>
      </c>
      <c r="AC69" s="169">
        <v>2.7841206499885605E-2</v>
      </c>
      <c r="AD69" s="170">
        <v>2.9799272847944147E-2</v>
      </c>
      <c r="AE69" s="170">
        <v>2.8961506632711354E-2</v>
      </c>
      <c r="AF69" s="170">
        <v>2.9380304512812705E-2</v>
      </c>
    </row>
    <row r="70" spans="2:32" x14ac:dyDescent="0.3">
      <c r="B70" s="1" t="s">
        <v>57</v>
      </c>
      <c r="C70" s="1" t="s">
        <v>60</v>
      </c>
      <c r="D70" s="1" t="s">
        <v>22</v>
      </c>
      <c r="E70" s="1" t="s">
        <v>51</v>
      </c>
      <c r="F70" s="5" t="str">
        <f t="shared" si="0"/>
        <v>Social housing - Metro - $250 mil-$500 mil</v>
      </c>
      <c r="G70" s="168">
        <v>2.5267075208362289E-2</v>
      </c>
      <c r="H70" s="168">
        <v>2.577908478354269E-2</v>
      </c>
      <c r="I70" s="168">
        <v>2.4103625316370541E-2</v>
      </c>
      <c r="J70" s="168">
        <v>2.4424759503902486E-2</v>
      </c>
      <c r="K70" s="168">
        <v>4.6145753631793442E-2</v>
      </c>
      <c r="L70" s="168">
        <v>2.1794768917469679E-2</v>
      </c>
      <c r="M70" s="168">
        <v>3.1992459215579493E-2</v>
      </c>
      <c r="N70" s="168">
        <v>3.4863472442244269E-2</v>
      </c>
      <c r="O70" s="168">
        <v>3.3436911805832387E-2</v>
      </c>
      <c r="P70" s="168">
        <v>1.9330634587715122E-2</v>
      </c>
      <c r="Q70" s="168">
        <v>1.9979677602588869E-2</v>
      </c>
      <c r="R70" s="168">
        <v>0.10435693861182149</v>
      </c>
      <c r="S70" s="168">
        <v>5.7901651963262586E-2</v>
      </c>
      <c r="T70" s="169">
        <v>1.8916175718261683E-2</v>
      </c>
      <c r="U70" s="169">
        <v>3.3356696788899555E-2</v>
      </c>
      <c r="V70" s="169">
        <v>3.3278482217326467E-2</v>
      </c>
      <c r="W70" s="169">
        <v>3.2463153671000076E-2</v>
      </c>
      <c r="X70" s="169">
        <v>3.1055971696917133E-2</v>
      </c>
      <c r="Y70" s="169">
        <v>3.0240970970361512E-2</v>
      </c>
      <c r="Z70" s="169">
        <v>2.9533942473824674E-2</v>
      </c>
      <c r="AA70" s="169">
        <v>2.8875771409431025E-2</v>
      </c>
      <c r="AB70" s="169">
        <v>2.8317411361917601E-2</v>
      </c>
      <c r="AC70" s="169">
        <v>2.7841206499885605E-2</v>
      </c>
      <c r="AD70" s="170">
        <v>2.9799272847944147E-2</v>
      </c>
      <c r="AE70" s="170">
        <v>2.8961506632711354E-2</v>
      </c>
      <c r="AF70" s="170">
        <v>2.9380304512812705E-2</v>
      </c>
    </row>
    <row r="71" spans="2:32" x14ac:dyDescent="0.3">
      <c r="B71" s="1" t="s">
        <v>57</v>
      </c>
      <c r="C71" s="1" t="s">
        <v>60</v>
      </c>
      <c r="D71" s="1" t="s">
        <v>22</v>
      </c>
      <c r="E71" s="1" t="s">
        <v>23</v>
      </c>
      <c r="F71" s="5" t="str">
        <f t="shared" si="0"/>
        <v>Social housing - Metro - $500 mil-$1 bn</v>
      </c>
      <c r="G71" s="168">
        <v>2.5267075208362289E-2</v>
      </c>
      <c r="H71" s="168">
        <v>2.577908478354269E-2</v>
      </c>
      <c r="I71" s="168">
        <v>2.4103625316370541E-2</v>
      </c>
      <c r="J71" s="168">
        <v>2.4424759503902486E-2</v>
      </c>
      <c r="K71" s="168">
        <v>4.6145753631793442E-2</v>
      </c>
      <c r="L71" s="168">
        <v>2.1794768917469679E-2</v>
      </c>
      <c r="M71" s="168">
        <v>3.1992459215579493E-2</v>
      </c>
      <c r="N71" s="168">
        <v>3.4863472442244269E-2</v>
      </c>
      <c r="O71" s="168">
        <v>3.3436911805832387E-2</v>
      </c>
      <c r="P71" s="168">
        <v>1.9330634587715122E-2</v>
      </c>
      <c r="Q71" s="168">
        <v>1.9979677602588869E-2</v>
      </c>
      <c r="R71" s="168">
        <v>0.10435693861182149</v>
      </c>
      <c r="S71" s="168">
        <v>5.7901651963262586E-2</v>
      </c>
      <c r="T71" s="169">
        <v>1.8916175718261683E-2</v>
      </c>
      <c r="U71" s="169">
        <v>3.3356696788899555E-2</v>
      </c>
      <c r="V71" s="169">
        <v>3.3278482217326467E-2</v>
      </c>
      <c r="W71" s="169">
        <v>3.2463153671000076E-2</v>
      </c>
      <c r="X71" s="169">
        <v>3.1055971696917133E-2</v>
      </c>
      <c r="Y71" s="169">
        <v>3.0240970970361512E-2</v>
      </c>
      <c r="Z71" s="169">
        <v>2.9533942473824674E-2</v>
      </c>
      <c r="AA71" s="169">
        <v>2.8875771409431025E-2</v>
      </c>
      <c r="AB71" s="169">
        <v>2.8317411361917601E-2</v>
      </c>
      <c r="AC71" s="169">
        <v>2.7841206499885605E-2</v>
      </c>
      <c r="AD71" s="170">
        <v>2.9799272847944147E-2</v>
      </c>
      <c r="AE71" s="170">
        <v>2.8961506632711354E-2</v>
      </c>
      <c r="AF71" s="170">
        <v>2.9380304512812705E-2</v>
      </c>
    </row>
    <row r="72" spans="2:32" x14ac:dyDescent="0.3">
      <c r="B72" s="1" t="s">
        <v>57</v>
      </c>
      <c r="C72" s="1" t="s">
        <v>60</v>
      </c>
      <c r="D72" s="1" t="s">
        <v>22</v>
      </c>
      <c r="E72" s="1" t="s">
        <v>52</v>
      </c>
      <c r="F72" s="5" t="str">
        <f t="shared" si="0"/>
        <v>Social housing - Metro - $1 bn-$5 bn</v>
      </c>
      <c r="G72" s="168">
        <v>2.5267075208362289E-2</v>
      </c>
      <c r="H72" s="168">
        <v>2.577908478354269E-2</v>
      </c>
      <c r="I72" s="168">
        <v>2.4103625316370541E-2</v>
      </c>
      <c r="J72" s="168">
        <v>2.4424759503902486E-2</v>
      </c>
      <c r="K72" s="168">
        <v>4.6145753631793442E-2</v>
      </c>
      <c r="L72" s="168">
        <v>2.1794768917469679E-2</v>
      </c>
      <c r="M72" s="168">
        <v>3.1992459215579493E-2</v>
      </c>
      <c r="N72" s="168">
        <v>3.4863472442244269E-2</v>
      </c>
      <c r="O72" s="168">
        <v>3.3436911805832387E-2</v>
      </c>
      <c r="P72" s="168">
        <v>1.9330634587715122E-2</v>
      </c>
      <c r="Q72" s="168">
        <v>1.9979677602588869E-2</v>
      </c>
      <c r="R72" s="168">
        <v>0.10435693861182149</v>
      </c>
      <c r="S72" s="168">
        <v>5.7901651963262586E-2</v>
      </c>
      <c r="T72" s="169">
        <v>1.8916175718261683E-2</v>
      </c>
      <c r="U72" s="169">
        <v>3.3356696788899555E-2</v>
      </c>
      <c r="V72" s="169">
        <v>3.3278482217326467E-2</v>
      </c>
      <c r="W72" s="169">
        <v>3.2463153671000076E-2</v>
      </c>
      <c r="X72" s="169">
        <v>3.1055971696917133E-2</v>
      </c>
      <c r="Y72" s="169">
        <v>3.0240970970361512E-2</v>
      </c>
      <c r="Z72" s="169">
        <v>2.9533942473824674E-2</v>
      </c>
      <c r="AA72" s="169">
        <v>2.8875771409431025E-2</v>
      </c>
      <c r="AB72" s="169">
        <v>2.8317411361917601E-2</v>
      </c>
      <c r="AC72" s="169">
        <v>2.7841206499885605E-2</v>
      </c>
      <c r="AD72" s="170">
        <v>2.9799272847944147E-2</v>
      </c>
      <c r="AE72" s="170">
        <v>2.8961506632711354E-2</v>
      </c>
      <c r="AF72" s="170">
        <v>2.9380304512812705E-2</v>
      </c>
    </row>
    <row r="73" spans="2:32" x14ac:dyDescent="0.3">
      <c r="B73" s="1" t="s">
        <v>57</v>
      </c>
      <c r="C73" s="1" t="s">
        <v>60</v>
      </c>
      <c r="D73" s="1" t="s">
        <v>22</v>
      </c>
      <c r="E73" s="1" t="s">
        <v>28</v>
      </c>
      <c r="F73" s="5" t="str">
        <f t="shared" si="0"/>
        <v>Social housing - Metro - &gt;$5 bn</v>
      </c>
      <c r="G73" s="168">
        <v>2.5267075208362289E-2</v>
      </c>
      <c r="H73" s="168">
        <v>2.577908478354269E-2</v>
      </c>
      <c r="I73" s="168">
        <v>2.4103625316370541E-2</v>
      </c>
      <c r="J73" s="168">
        <v>2.4424759503902486E-2</v>
      </c>
      <c r="K73" s="168">
        <v>4.6145753631793442E-2</v>
      </c>
      <c r="L73" s="168">
        <v>2.1794768917469679E-2</v>
      </c>
      <c r="M73" s="168">
        <v>3.1992459215579493E-2</v>
      </c>
      <c r="N73" s="168">
        <v>3.4863472442244269E-2</v>
      </c>
      <c r="O73" s="168">
        <v>3.3436911805832387E-2</v>
      </c>
      <c r="P73" s="168">
        <v>1.9330634587715122E-2</v>
      </c>
      <c r="Q73" s="168">
        <v>1.9979677602588869E-2</v>
      </c>
      <c r="R73" s="168">
        <v>0.10435693861182149</v>
      </c>
      <c r="S73" s="168">
        <v>5.7901651963262586E-2</v>
      </c>
      <c r="T73" s="169">
        <v>1.8916175718261683E-2</v>
      </c>
      <c r="U73" s="169">
        <v>3.3356696788899555E-2</v>
      </c>
      <c r="V73" s="169">
        <v>3.3278482217326467E-2</v>
      </c>
      <c r="W73" s="169">
        <v>3.2463153671000076E-2</v>
      </c>
      <c r="X73" s="169">
        <v>3.1055971696917133E-2</v>
      </c>
      <c r="Y73" s="169">
        <v>3.0240970970361512E-2</v>
      </c>
      <c r="Z73" s="169">
        <v>2.9533942473824674E-2</v>
      </c>
      <c r="AA73" s="169">
        <v>2.8875771409431025E-2</v>
      </c>
      <c r="AB73" s="169">
        <v>2.8317411361917601E-2</v>
      </c>
      <c r="AC73" s="169">
        <v>2.7841206499885605E-2</v>
      </c>
      <c r="AD73" s="170">
        <v>2.9799272847944147E-2</v>
      </c>
      <c r="AE73" s="170">
        <v>2.8961506632711354E-2</v>
      </c>
      <c r="AF73" s="170">
        <v>2.9380304512812705E-2</v>
      </c>
    </row>
    <row r="74" spans="2:32" x14ac:dyDescent="0.3">
      <c r="B74" s="1" t="s">
        <v>57</v>
      </c>
      <c r="C74" s="1" t="s">
        <v>60</v>
      </c>
      <c r="D74" s="1" t="s">
        <v>53</v>
      </c>
      <c r="E74" s="1" t="s">
        <v>50</v>
      </c>
      <c r="F74" s="5" t="str">
        <f t="shared" si="0"/>
        <v>Social housing - Regional - &lt;$250 mil</v>
      </c>
      <c r="G74" s="168">
        <v>2.5267075208362289E-2</v>
      </c>
      <c r="H74" s="168">
        <v>2.577908478354269E-2</v>
      </c>
      <c r="I74" s="168">
        <v>2.4103625316370541E-2</v>
      </c>
      <c r="J74" s="168">
        <v>2.4424759503902486E-2</v>
      </c>
      <c r="K74" s="168">
        <v>4.6145753631793442E-2</v>
      </c>
      <c r="L74" s="168">
        <v>2.1794768917469679E-2</v>
      </c>
      <c r="M74" s="168">
        <v>3.1992459215579493E-2</v>
      </c>
      <c r="N74" s="168">
        <v>3.4863472442244269E-2</v>
      </c>
      <c r="O74" s="168">
        <v>3.3436911805832387E-2</v>
      </c>
      <c r="P74" s="168">
        <v>1.9330634587715122E-2</v>
      </c>
      <c r="Q74" s="168">
        <v>1.9979677602588869E-2</v>
      </c>
      <c r="R74" s="168">
        <v>0.10435693861182149</v>
      </c>
      <c r="S74" s="168">
        <v>5.7901651963262586E-2</v>
      </c>
      <c r="T74" s="169">
        <v>1.8916175718261683E-2</v>
      </c>
      <c r="U74" s="169">
        <v>3.3356696788899555E-2</v>
      </c>
      <c r="V74" s="169">
        <v>3.3278482217326467E-2</v>
      </c>
      <c r="W74" s="169">
        <v>3.2463153671000076E-2</v>
      </c>
      <c r="X74" s="169">
        <v>3.1055971696917133E-2</v>
      </c>
      <c r="Y74" s="169">
        <v>3.0240970970361512E-2</v>
      </c>
      <c r="Z74" s="169">
        <v>2.9533942473824674E-2</v>
      </c>
      <c r="AA74" s="169">
        <v>2.8875771409431025E-2</v>
      </c>
      <c r="AB74" s="169">
        <v>2.8317411361917601E-2</v>
      </c>
      <c r="AC74" s="169">
        <v>2.7841206499885605E-2</v>
      </c>
      <c r="AD74" s="170">
        <v>2.9799272847944147E-2</v>
      </c>
      <c r="AE74" s="170">
        <v>2.8961506632711354E-2</v>
      </c>
      <c r="AF74" s="170">
        <v>2.9380304512812705E-2</v>
      </c>
    </row>
    <row r="75" spans="2:32" x14ac:dyDescent="0.3">
      <c r="B75" s="1" t="s">
        <v>57</v>
      </c>
      <c r="C75" s="1" t="s">
        <v>60</v>
      </c>
      <c r="D75" s="1" t="s">
        <v>53</v>
      </c>
      <c r="E75" s="1" t="s">
        <v>51</v>
      </c>
      <c r="F75" s="5" t="str">
        <f t="shared" si="0"/>
        <v>Social housing - Regional - $250 mil-$500 mil</v>
      </c>
      <c r="G75" s="168">
        <v>2.5267075208362289E-2</v>
      </c>
      <c r="H75" s="168">
        <v>2.577908478354269E-2</v>
      </c>
      <c r="I75" s="168">
        <v>2.4103625316370541E-2</v>
      </c>
      <c r="J75" s="168">
        <v>2.4424759503902486E-2</v>
      </c>
      <c r="K75" s="168">
        <v>4.6145753631793442E-2</v>
      </c>
      <c r="L75" s="168">
        <v>2.1794768917469679E-2</v>
      </c>
      <c r="M75" s="168">
        <v>3.1992459215579493E-2</v>
      </c>
      <c r="N75" s="168">
        <v>3.4863472442244269E-2</v>
      </c>
      <c r="O75" s="168">
        <v>3.3436911805832387E-2</v>
      </c>
      <c r="P75" s="168">
        <v>1.9330634587715122E-2</v>
      </c>
      <c r="Q75" s="168">
        <v>1.9979677602588869E-2</v>
      </c>
      <c r="R75" s="168">
        <v>0.10435693861182149</v>
      </c>
      <c r="S75" s="168">
        <v>5.7901651963262586E-2</v>
      </c>
      <c r="T75" s="169">
        <v>1.8916175718261683E-2</v>
      </c>
      <c r="U75" s="169">
        <v>3.3356696788899555E-2</v>
      </c>
      <c r="V75" s="169">
        <v>3.3278482217326467E-2</v>
      </c>
      <c r="W75" s="169">
        <v>3.2463153671000076E-2</v>
      </c>
      <c r="X75" s="169">
        <v>3.1055971696917133E-2</v>
      </c>
      <c r="Y75" s="169">
        <v>3.0240970970361512E-2</v>
      </c>
      <c r="Z75" s="169">
        <v>2.9533942473824674E-2</v>
      </c>
      <c r="AA75" s="169">
        <v>2.8875771409431025E-2</v>
      </c>
      <c r="AB75" s="169">
        <v>2.8317411361917601E-2</v>
      </c>
      <c r="AC75" s="169">
        <v>2.7841206499885605E-2</v>
      </c>
      <c r="AD75" s="170">
        <v>2.9799272847944147E-2</v>
      </c>
      <c r="AE75" s="170">
        <v>2.8961506632711354E-2</v>
      </c>
      <c r="AF75" s="170">
        <v>2.9380304512812705E-2</v>
      </c>
    </row>
    <row r="76" spans="2:32" x14ac:dyDescent="0.3">
      <c r="B76" s="1" t="s">
        <v>57</v>
      </c>
      <c r="C76" s="1" t="s">
        <v>60</v>
      </c>
      <c r="D76" s="1" t="s">
        <v>53</v>
      </c>
      <c r="E76" s="1" t="s">
        <v>23</v>
      </c>
      <c r="F76" s="5" t="str">
        <f t="shared" si="0"/>
        <v>Social housing - Regional - $500 mil-$1 bn</v>
      </c>
      <c r="G76" s="168">
        <v>2.5267075208362289E-2</v>
      </c>
      <c r="H76" s="168">
        <v>2.577908478354269E-2</v>
      </c>
      <c r="I76" s="168">
        <v>2.4103625316370541E-2</v>
      </c>
      <c r="J76" s="168">
        <v>2.4424759503902486E-2</v>
      </c>
      <c r="K76" s="168">
        <v>4.6145753631793442E-2</v>
      </c>
      <c r="L76" s="168">
        <v>2.1794768917469679E-2</v>
      </c>
      <c r="M76" s="168">
        <v>3.1992459215579493E-2</v>
      </c>
      <c r="N76" s="168">
        <v>3.4863472442244269E-2</v>
      </c>
      <c r="O76" s="168">
        <v>3.3436911805832387E-2</v>
      </c>
      <c r="P76" s="168">
        <v>1.9330634587715122E-2</v>
      </c>
      <c r="Q76" s="168">
        <v>1.9979677602588869E-2</v>
      </c>
      <c r="R76" s="168">
        <v>0.10435693861182149</v>
      </c>
      <c r="S76" s="168">
        <v>5.7901651963262586E-2</v>
      </c>
      <c r="T76" s="169">
        <v>1.8916175718261683E-2</v>
      </c>
      <c r="U76" s="169">
        <v>3.3356696788899555E-2</v>
      </c>
      <c r="V76" s="169">
        <v>3.3278482217326467E-2</v>
      </c>
      <c r="W76" s="169">
        <v>3.2463153671000076E-2</v>
      </c>
      <c r="X76" s="169">
        <v>3.1055971696917133E-2</v>
      </c>
      <c r="Y76" s="169">
        <v>3.0240970970361512E-2</v>
      </c>
      <c r="Z76" s="169">
        <v>2.9533942473824674E-2</v>
      </c>
      <c r="AA76" s="169">
        <v>2.8875771409431025E-2</v>
      </c>
      <c r="AB76" s="169">
        <v>2.8317411361917601E-2</v>
      </c>
      <c r="AC76" s="169">
        <v>2.7841206499885605E-2</v>
      </c>
      <c r="AD76" s="170">
        <v>2.9799272847944147E-2</v>
      </c>
      <c r="AE76" s="170">
        <v>2.8961506632711354E-2</v>
      </c>
      <c r="AF76" s="170">
        <v>2.9380304512812705E-2</v>
      </c>
    </row>
    <row r="77" spans="2:32" x14ac:dyDescent="0.3">
      <c r="B77" s="1" t="s">
        <v>57</v>
      </c>
      <c r="C77" s="1" t="s">
        <v>60</v>
      </c>
      <c r="D77" s="1" t="s">
        <v>53</v>
      </c>
      <c r="E77" s="1" t="s">
        <v>52</v>
      </c>
      <c r="F77" s="5" t="str">
        <f t="shared" si="0"/>
        <v>Social housing - Regional - $1 bn-$5 bn</v>
      </c>
      <c r="G77" s="168">
        <v>2.5267075208362289E-2</v>
      </c>
      <c r="H77" s="168">
        <v>2.577908478354269E-2</v>
      </c>
      <c r="I77" s="168">
        <v>2.4103625316370541E-2</v>
      </c>
      <c r="J77" s="168">
        <v>2.4424759503902486E-2</v>
      </c>
      <c r="K77" s="168">
        <v>4.6145753631793442E-2</v>
      </c>
      <c r="L77" s="168">
        <v>2.1794768917469679E-2</v>
      </c>
      <c r="M77" s="168">
        <v>3.1992459215579493E-2</v>
      </c>
      <c r="N77" s="168">
        <v>3.4863472442244269E-2</v>
      </c>
      <c r="O77" s="168">
        <v>3.3436911805832387E-2</v>
      </c>
      <c r="P77" s="168">
        <v>1.9330634587715122E-2</v>
      </c>
      <c r="Q77" s="168">
        <v>1.9979677602588869E-2</v>
      </c>
      <c r="R77" s="168">
        <v>0.10435693861182149</v>
      </c>
      <c r="S77" s="168">
        <v>5.7901651963262586E-2</v>
      </c>
      <c r="T77" s="169">
        <v>1.8916175718261683E-2</v>
      </c>
      <c r="U77" s="169">
        <v>3.3356696788899555E-2</v>
      </c>
      <c r="V77" s="169">
        <v>3.3278482217326467E-2</v>
      </c>
      <c r="W77" s="169">
        <v>3.2463153671000076E-2</v>
      </c>
      <c r="X77" s="169">
        <v>3.1055971696917133E-2</v>
      </c>
      <c r="Y77" s="169">
        <v>3.0240970970361512E-2</v>
      </c>
      <c r="Z77" s="169">
        <v>2.9533942473824674E-2</v>
      </c>
      <c r="AA77" s="169">
        <v>2.8875771409431025E-2</v>
      </c>
      <c r="AB77" s="169">
        <v>2.8317411361917601E-2</v>
      </c>
      <c r="AC77" s="169">
        <v>2.7841206499885605E-2</v>
      </c>
      <c r="AD77" s="170">
        <v>2.9799272847944147E-2</v>
      </c>
      <c r="AE77" s="170">
        <v>2.8961506632711354E-2</v>
      </c>
      <c r="AF77" s="170">
        <v>2.9380304512812705E-2</v>
      </c>
    </row>
    <row r="78" spans="2:32" x14ac:dyDescent="0.3">
      <c r="B78" s="1" t="s">
        <v>57</v>
      </c>
      <c r="C78" s="1" t="s">
        <v>60</v>
      </c>
      <c r="D78" s="1" t="s">
        <v>53</v>
      </c>
      <c r="E78" s="1" t="s">
        <v>28</v>
      </c>
      <c r="F78" s="5" t="str">
        <f t="shared" si="0"/>
        <v>Social housing - Regional - &gt;$5 bn</v>
      </c>
      <c r="G78" s="168">
        <v>2.5267075208362289E-2</v>
      </c>
      <c r="H78" s="168">
        <v>2.577908478354269E-2</v>
      </c>
      <c r="I78" s="168">
        <v>2.4103625316370541E-2</v>
      </c>
      <c r="J78" s="168">
        <v>2.4424759503902486E-2</v>
      </c>
      <c r="K78" s="168">
        <v>4.6145753631793442E-2</v>
      </c>
      <c r="L78" s="168">
        <v>2.1794768917469679E-2</v>
      </c>
      <c r="M78" s="168">
        <v>3.1992459215579493E-2</v>
      </c>
      <c r="N78" s="168">
        <v>3.4863472442244269E-2</v>
      </c>
      <c r="O78" s="168">
        <v>3.3436911805832387E-2</v>
      </c>
      <c r="P78" s="168">
        <v>1.9330634587715122E-2</v>
      </c>
      <c r="Q78" s="168">
        <v>1.9979677602588869E-2</v>
      </c>
      <c r="R78" s="168">
        <v>0.10435693861182149</v>
      </c>
      <c r="S78" s="168">
        <v>5.7901651963262586E-2</v>
      </c>
      <c r="T78" s="169">
        <v>1.8916175718261683E-2</v>
      </c>
      <c r="U78" s="169">
        <v>3.3356696788899555E-2</v>
      </c>
      <c r="V78" s="169">
        <v>3.3278482217326467E-2</v>
      </c>
      <c r="W78" s="169">
        <v>3.2463153671000076E-2</v>
      </c>
      <c r="X78" s="169">
        <v>3.1055971696917133E-2</v>
      </c>
      <c r="Y78" s="169">
        <v>3.0240970970361512E-2</v>
      </c>
      <c r="Z78" s="169">
        <v>2.9533942473824674E-2</v>
      </c>
      <c r="AA78" s="169">
        <v>2.8875771409431025E-2</v>
      </c>
      <c r="AB78" s="169">
        <v>2.8317411361917601E-2</v>
      </c>
      <c r="AC78" s="169">
        <v>2.7841206499885605E-2</v>
      </c>
      <c r="AD78" s="170">
        <v>2.9799272847944147E-2</v>
      </c>
      <c r="AE78" s="170">
        <v>2.8961506632711354E-2</v>
      </c>
      <c r="AF78" s="170">
        <v>2.9380304512812705E-2</v>
      </c>
    </row>
    <row r="79" spans="2:32" x14ac:dyDescent="0.3">
      <c r="B79" s="1" t="s">
        <v>57</v>
      </c>
      <c r="C79" s="1" t="s">
        <v>27</v>
      </c>
      <c r="D79" s="1" t="s">
        <v>22</v>
      </c>
      <c r="E79" s="1" t="s">
        <v>50</v>
      </c>
      <c r="F79" s="5" t="str">
        <f t="shared" si="0"/>
        <v>Hospitals - Metro - &lt;$250 mil</v>
      </c>
      <c r="G79" s="168">
        <v>1.4076816941550203E-2</v>
      </c>
      <c r="H79" s="168">
        <v>2.9778791859887119E-2</v>
      </c>
      <c r="I79" s="168">
        <v>2.0867736416394639E-2</v>
      </c>
      <c r="J79" s="168">
        <v>2.4153144033843249E-2</v>
      </c>
      <c r="K79" s="168">
        <v>6.2604382507258749E-2</v>
      </c>
      <c r="L79" s="168">
        <v>1.6311602682259001E-2</v>
      </c>
      <c r="M79" s="168">
        <v>3.3122435797162272E-2</v>
      </c>
      <c r="N79" s="168">
        <v>2.9086139288576795E-2</v>
      </c>
      <c r="O79" s="168">
        <v>3.9402768279161858E-2</v>
      </c>
      <c r="P79" s="168">
        <v>2.6107494299619949E-2</v>
      </c>
      <c r="Q79" s="168">
        <v>6.9598219468752064E-3</v>
      </c>
      <c r="R79" s="168">
        <v>0.12104347861872797</v>
      </c>
      <c r="S79" s="168">
        <v>6.4928904871829007E-2</v>
      </c>
      <c r="T79" s="169">
        <v>9.0586631203036488E-3</v>
      </c>
      <c r="U79" s="169">
        <v>2.381734744624904E-2</v>
      </c>
      <c r="V79" s="169">
        <v>2.8209989584403381E-2</v>
      </c>
      <c r="W79" s="169">
        <v>2.9476062907675352E-2</v>
      </c>
      <c r="X79" s="169">
        <v>2.8222804344675462E-2</v>
      </c>
      <c r="Y79" s="169">
        <v>2.7505958918067092E-2</v>
      </c>
      <c r="Z79" s="169">
        <v>2.6901035243244904E-2</v>
      </c>
      <c r="AA79" s="169">
        <v>2.6347518302506614E-2</v>
      </c>
      <c r="AB79" s="169">
        <v>2.5866818790999512E-2</v>
      </c>
      <c r="AC79" s="169">
        <v>2.5444735836097396E-2</v>
      </c>
      <c r="AD79" s="170">
        <v>2.3728609829692715E-2</v>
      </c>
      <c r="AE79" s="170">
        <v>2.6412953030977793E-2</v>
      </c>
      <c r="AF79" s="170">
        <v>2.5069902746926109E-2</v>
      </c>
    </row>
    <row r="80" spans="2:32" x14ac:dyDescent="0.3">
      <c r="B80" s="1" t="s">
        <v>57</v>
      </c>
      <c r="C80" s="1" t="s">
        <v>27</v>
      </c>
      <c r="D80" s="1" t="s">
        <v>22</v>
      </c>
      <c r="E80" s="1" t="s">
        <v>51</v>
      </c>
      <c r="F80" s="5" t="str">
        <f t="shared" si="0"/>
        <v>Hospitals - Metro - $250 mil-$500 mil</v>
      </c>
      <c r="G80" s="168">
        <v>1.4076816941550203E-2</v>
      </c>
      <c r="H80" s="168">
        <v>2.9778791859887119E-2</v>
      </c>
      <c r="I80" s="168">
        <v>2.0867736416394639E-2</v>
      </c>
      <c r="J80" s="168">
        <v>2.4153144033843249E-2</v>
      </c>
      <c r="K80" s="168">
        <v>6.2604382507258749E-2</v>
      </c>
      <c r="L80" s="168">
        <v>1.6311602682259001E-2</v>
      </c>
      <c r="M80" s="168">
        <v>3.3122435797162272E-2</v>
      </c>
      <c r="N80" s="168">
        <v>2.9086139288576795E-2</v>
      </c>
      <c r="O80" s="168">
        <v>3.9402768279161858E-2</v>
      </c>
      <c r="P80" s="168">
        <v>2.6107494299619949E-2</v>
      </c>
      <c r="Q80" s="168">
        <v>6.9598219468752064E-3</v>
      </c>
      <c r="R80" s="168">
        <v>0.12104347861872797</v>
      </c>
      <c r="S80" s="168">
        <v>6.4928904871829007E-2</v>
      </c>
      <c r="T80" s="169">
        <v>9.0586631203036488E-3</v>
      </c>
      <c r="U80" s="169">
        <v>2.381734744624904E-2</v>
      </c>
      <c r="V80" s="169">
        <v>2.8209989584403381E-2</v>
      </c>
      <c r="W80" s="169">
        <v>2.9476062907675352E-2</v>
      </c>
      <c r="X80" s="169">
        <v>2.8222804344675462E-2</v>
      </c>
      <c r="Y80" s="169">
        <v>2.7505958918067092E-2</v>
      </c>
      <c r="Z80" s="169">
        <v>2.6901035243244904E-2</v>
      </c>
      <c r="AA80" s="169">
        <v>2.6347518302506614E-2</v>
      </c>
      <c r="AB80" s="169">
        <v>2.5866818790999512E-2</v>
      </c>
      <c r="AC80" s="169">
        <v>2.5444735836097396E-2</v>
      </c>
      <c r="AD80" s="170">
        <v>2.3728609829692715E-2</v>
      </c>
      <c r="AE80" s="170">
        <v>2.6412953030977793E-2</v>
      </c>
      <c r="AF80" s="170">
        <v>2.5069902746926109E-2</v>
      </c>
    </row>
    <row r="81" spans="2:32" x14ac:dyDescent="0.3">
      <c r="B81" s="1" t="s">
        <v>57</v>
      </c>
      <c r="C81" s="1" t="s">
        <v>27</v>
      </c>
      <c r="D81" s="1" t="s">
        <v>22</v>
      </c>
      <c r="E81" s="1" t="s">
        <v>23</v>
      </c>
      <c r="F81" s="5" t="str">
        <f t="shared" si="0"/>
        <v>Hospitals - Metro - $500 mil-$1 bn</v>
      </c>
      <c r="G81" s="168">
        <v>1.4076816941550203E-2</v>
      </c>
      <c r="H81" s="168">
        <v>2.9778791859887119E-2</v>
      </c>
      <c r="I81" s="168">
        <v>2.0867736416394639E-2</v>
      </c>
      <c r="J81" s="168">
        <v>2.4153144033843249E-2</v>
      </c>
      <c r="K81" s="168">
        <v>6.2604382507258749E-2</v>
      </c>
      <c r="L81" s="168">
        <v>1.6311602682259001E-2</v>
      </c>
      <c r="M81" s="168">
        <v>3.3122435797162272E-2</v>
      </c>
      <c r="N81" s="168">
        <v>2.9086139288576795E-2</v>
      </c>
      <c r="O81" s="168">
        <v>3.9402768279161858E-2</v>
      </c>
      <c r="P81" s="168">
        <v>2.6107494299619949E-2</v>
      </c>
      <c r="Q81" s="168">
        <v>6.9598219468752064E-3</v>
      </c>
      <c r="R81" s="168">
        <v>0.12104347861872797</v>
      </c>
      <c r="S81" s="168">
        <v>6.4928904871829007E-2</v>
      </c>
      <c r="T81" s="169">
        <v>9.0586631203036488E-3</v>
      </c>
      <c r="U81" s="169">
        <v>2.381734744624904E-2</v>
      </c>
      <c r="V81" s="169">
        <v>2.8209989584403381E-2</v>
      </c>
      <c r="W81" s="169">
        <v>2.9476062907675352E-2</v>
      </c>
      <c r="X81" s="169">
        <v>2.8222804344675462E-2</v>
      </c>
      <c r="Y81" s="169">
        <v>2.7505958918067092E-2</v>
      </c>
      <c r="Z81" s="169">
        <v>2.6901035243244904E-2</v>
      </c>
      <c r="AA81" s="169">
        <v>2.6347518302506614E-2</v>
      </c>
      <c r="AB81" s="169">
        <v>2.5866818790999512E-2</v>
      </c>
      <c r="AC81" s="169">
        <v>2.5444735836097396E-2</v>
      </c>
      <c r="AD81" s="170">
        <v>2.3728609829692715E-2</v>
      </c>
      <c r="AE81" s="170">
        <v>2.6412953030977793E-2</v>
      </c>
      <c r="AF81" s="170">
        <v>2.5069902746926109E-2</v>
      </c>
    </row>
    <row r="82" spans="2:32" x14ac:dyDescent="0.3">
      <c r="B82" s="1" t="s">
        <v>57</v>
      </c>
      <c r="C82" s="1" t="s">
        <v>27</v>
      </c>
      <c r="D82" s="1" t="s">
        <v>22</v>
      </c>
      <c r="E82" s="1" t="s">
        <v>52</v>
      </c>
      <c r="F82" s="5" t="str">
        <f t="shared" ref="F82:F108" si="1">_xlfn.CONCAT(C82, " - ", D82, " - ",E82)</f>
        <v>Hospitals - Metro - $1 bn-$5 bn</v>
      </c>
      <c r="G82" s="168">
        <v>1.4076816941550203E-2</v>
      </c>
      <c r="H82" s="168">
        <v>2.9778791859887119E-2</v>
      </c>
      <c r="I82" s="168">
        <v>2.0867736416394639E-2</v>
      </c>
      <c r="J82" s="168">
        <v>2.4153144033843249E-2</v>
      </c>
      <c r="K82" s="168">
        <v>6.2604382507258749E-2</v>
      </c>
      <c r="L82" s="168">
        <v>1.6311602682259001E-2</v>
      </c>
      <c r="M82" s="168">
        <v>3.3122435797162272E-2</v>
      </c>
      <c r="N82" s="168">
        <v>2.9086139288576795E-2</v>
      </c>
      <c r="O82" s="168">
        <v>3.9402768279161858E-2</v>
      </c>
      <c r="P82" s="168">
        <v>2.6107494299619949E-2</v>
      </c>
      <c r="Q82" s="168">
        <v>6.9598219468752064E-3</v>
      </c>
      <c r="R82" s="168">
        <v>0.12104347861872797</v>
      </c>
      <c r="S82" s="168">
        <v>6.4928904871829007E-2</v>
      </c>
      <c r="T82" s="169">
        <v>9.0586631203036488E-3</v>
      </c>
      <c r="U82" s="169">
        <v>2.381734744624904E-2</v>
      </c>
      <c r="V82" s="169">
        <v>2.8209989584403381E-2</v>
      </c>
      <c r="W82" s="169">
        <v>2.9476062907675352E-2</v>
      </c>
      <c r="X82" s="169">
        <v>2.8222804344675462E-2</v>
      </c>
      <c r="Y82" s="169">
        <v>2.7505958918067092E-2</v>
      </c>
      <c r="Z82" s="169">
        <v>2.6901035243244904E-2</v>
      </c>
      <c r="AA82" s="169">
        <v>2.6347518302506614E-2</v>
      </c>
      <c r="AB82" s="169">
        <v>2.5866818790999512E-2</v>
      </c>
      <c r="AC82" s="169">
        <v>2.5444735836097396E-2</v>
      </c>
      <c r="AD82" s="170">
        <v>2.3728609829692715E-2</v>
      </c>
      <c r="AE82" s="170">
        <v>2.6412953030977793E-2</v>
      </c>
      <c r="AF82" s="170">
        <v>2.5069902746926109E-2</v>
      </c>
    </row>
    <row r="83" spans="2:32" x14ac:dyDescent="0.3">
      <c r="B83" s="1" t="s">
        <v>57</v>
      </c>
      <c r="C83" s="1" t="s">
        <v>27</v>
      </c>
      <c r="D83" s="1" t="s">
        <v>22</v>
      </c>
      <c r="E83" s="1" t="s">
        <v>28</v>
      </c>
      <c r="F83" s="5" t="str">
        <f t="shared" si="1"/>
        <v>Hospitals - Metro - &gt;$5 bn</v>
      </c>
      <c r="G83" s="168">
        <v>1.4076816941550203E-2</v>
      </c>
      <c r="H83" s="168">
        <v>2.9778791859887119E-2</v>
      </c>
      <c r="I83" s="168">
        <v>2.0867736416394639E-2</v>
      </c>
      <c r="J83" s="168">
        <v>2.4153144033843249E-2</v>
      </c>
      <c r="K83" s="168">
        <v>6.2604382507258749E-2</v>
      </c>
      <c r="L83" s="168">
        <v>1.6311602682259001E-2</v>
      </c>
      <c r="M83" s="168">
        <v>3.3122435797162272E-2</v>
      </c>
      <c r="N83" s="168">
        <v>2.9086139288576795E-2</v>
      </c>
      <c r="O83" s="168">
        <v>3.9402768279161858E-2</v>
      </c>
      <c r="P83" s="168">
        <v>2.6107494299619949E-2</v>
      </c>
      <c r="Q83" s="168">
        <v>6.9598219468752064E-3</v>
      </c>
      <c r="R83" s="168">
        <v>0.12104347861872797</v>
      </c>
      <c r="S83" s="168">
        <v>6.4928904871829007E-2</v>
      </c>
      <c r="T83" s="169">
        <v>9.0586631203036488E-3</v>
      </c>
      <c r="U83" s="169">
        <v>2.381734744624904E-2</v>
      </c>
      <c r="V83" s="169">
        <v>2.8209989584403381E-2</v>
      </c>
      <c r="W83" s="169">
        <v>2.9476062907675352E-2</v>
      </c>
      <c r="X83" s="169">
        <v>2.8222804344675462E-2</v>
      </c>
      <c r="Y83" s="169">
        <v>2.7505958918067092E-2</v>
      </c>
      <c r="Z83" s="169">
        <v>2.6901035243244904E-2</v>
      </c>
      <c r="AA83" s="169">
        <v>2.6347518302506614E-2</v>
      </c>
      <c r="AB83" s="169">
        <v>2.5866818790999512E-2</v>
      </c>
      <c r="AC83" s="169">
        <v>2.5444735836097396E-2</v>
      </c>
      <c r="AD83" s="170">
        <v>2.3728609829692715E-2</v>
      </c>
      <c r="AE83" s="170">
        <v>2.6412953030977793E-2</v>
      </c>
      <c r="AF83" s="170">
        <v>2.5069902746926109E-2</v>
      </c>
    </row>
    <row r="84" spans="2:32" x14ac:dyDescent="0.3">
      <c r="B84" s="1" t="s">
        <v>57</v>
      </c>
      <c r="C84" s="1" t="s">
        <v>27</v>
      </c>
      <c r="D84" s="1" t="s">
        <v>53</v>
      </c>
      <c r="E84" s="1" t="s">
        <v>50</v>
      </c>
      <c r="F84" s="5" t="str">
        <f t="shared" si="1"/>
        <v>Hospitals - Regional - &lt;$250 mil</v>
      </c>
      <c r="G84" s="168">
        <v>1.4076816941550203E-2</v>
      </c>
      <c r="H84" s="168">
        <v>2.9778791859887119E-2</v>
      </c>
      <c r="I84" s="168">
        <v>2.0867736416394639E-2</v>
      </c>
      <c r="J84" s="168">
        <v>2.4153144033843249E-2</v>
      </c>
      <c r="K84" s="168">
        <v>6.2604382507258749E-2</v>
      </c>
      <c r="L84" s="168">
        <v>1.6311602682259001E-2</v>
      </c>
      <c r="M84" s="168">
        <v>3.3122435797162272E-2</v>
      </c>
      <c r="N84" s="168">
        <v>2.9086139288576795E-2</v>
      </c>
      <c r="O84" s="168">
        <v>3.9402768279161858E-2</v>
      </c>
      <c r="P84" s="168">
        <v>2.6107494299619949E-2</v>
      </c>
      <c r="Q84" s="168">
        <v>6.9598219468752064E-3</v>
      </c>
      <c r="R84" s="168">
        <v>0.12104347861872797</v>
      </c>
      <c r="S84" s="168">
        <v>6.4928904871829007E-2</v>
      </c>
      <c r="T84" s="169">
        <v>9.0586631203036488E-3</v>
      </c>
      <c r="U84" s="169">
        <v>2.381734744624904E-2</v>
      </c>
      <c r="V84" s="169">
        <v>2.8209989584403381E-2</v>
      </c>
      <c r="W84" s="169">
        <v>2.9476062907675352E-2</v>
      </c>
      <c r="X84" s="169">
        <v>2.8222804344675462E-2</v>
      </c>
      <c r="Y84" s="169">
        <v>2.7505958918067092E-2</v>
      </c>
      <c r="Z84" s="169">
        <v>2.6901035243244904E-2</v>
      </c>
      <c r="AA84" s="169">
        <v>2.6347518302506614E-2</v>
      </c>
      <c r="AB84" s="169">
        <v>2.5866818790999512E-2</v>
      </c>
      <c r="AC84" s="169">
        <v>2.5444735836097396E-2</v>
      </c>
      <c r="AD84" s="170">
        <v>2.3728609829692715E-2</v>
      </c>
      <c r="AE84" s="170">
        <v>2.6412953030977793E-2</v>
      </c>
      <c r="AF84" s="170">
        <v>2.5069902746926109E-2</v>
      </c>
    </row>
    <row r="85" spans="2:32" x14ac:dyDescent="0.3">
      <c r="B85" s="1" t="s">
        <v>57</v>
      </c>
      <c r="C85" s="1" t="s">
        <v>27</v>
      </c>
      <c r="D85" s="1" t="s">
        <v>53</v>
      </c>
      <c r="E85" s="1" t="s">
        <v>51</v>
      </c>
      <c r="F85" s="5" t="str">
        <f t="shared" si="1"/>
        <v>Hospitals - Regional - $250 mil-$500 mil</v>
      </c>
      <c r="G85" s="168">
        <v>1.4076816941550203E-2</v>
      </c>
      <c r="H85" s="168">
        <v>2.9778791859887119E-2</v>
      </c>
      <c r="I85" s="168">
        <v>2.0867736416394639E-2</v>
      </c>
      <c r="J85" s="168">
        <v>2.4153144033843249E-2</v>
      </c>
      <c r="K85" s="168">
        <v>6.2604382507258749E-2</v>
      </c>
      <c r="L85" s="168">
        <v>1.6311602682259001E-2</v>
      </c>
      <c r="M85" s="168">
        <v>3.3122435797162272E-2</v>
      </c>
      <c r="N85" s="168">
        <v>2.9086139288576795E-2</v>
      </c>
      <c r="O85" s="168">
        <v>3.9402768279161858E-2</v>
      </c>
      <c r="P85" s="168">
        <v>2.6107494299619949E-2</v>
      </c>
      <c r="Q85" s="168">
        <v>6.9598219468752064E-3</v>
      </c>
      <c r="R85" s="168">
        <v>0.12104347861872797</v>
      </c>
      <c r="S85" s="168">
        <v>6.4928904871829007E-2</v>
      </c>
      <c r="T85" s="169">
        <v>9.0586631203036488E-3</v>
      </c>
      <c r="U85" s="169">
        <v>2.381734744624904E-2</v>
      </c>
      <c r="V85" s="169">
        <v>2.8209989584403381E-2</v>
      </c>
      <c r="W85" s="169">
        <v>2.9476062907675352E-2</v>
      </c>
      <c r="X85" s="169">
        <v>2.8222804344675462E-2</v>
      </c>
      <c r="Y85" s="169">
        <v>2.7505958918067092E-2</v>
      </c>
      <c r="Z85" s="169">
        <v>2.6901035243244904E-2</v>
      </c>
      <c r="AA85" s="169">
        <v>2.6347518302506614E-2</v>
      </c>
      <c r="AB85" s="169">
        <v>2.5866818790999512E-2</v>
      </c>
      <c r="AC85" s="169">
        <v>2.5444735836097396E-2</v>
      </c>
      <c r="AD85" s="170">
        <v>2.3728609829692715E-2</v>
      </c>
      <c r="AE85" s="170">
        <v>2.6412953030977793E-2</v>
      </c>
      <c r="AF85" s="170">
        <v>2.5069902746926109E-2</v>
      </c>
    </row>
    <row r="86" spans="2:32" x14ac:dyDescent="0.3">
      <c r="B86" s="1" t="s">
        <v>57</v>
      </c>
      <c r="C86" s="1" t="s">
        <v>27</v>
      </c>
      <c r="D86" s="1" t="s">
        <v>53</v>
      </c>
      <c r="E86" s="1" t="s">
        <v>23</v>
      </c>
      <c r="F86" s="5" t="str">
        <f t="shared" si="1"/>
        <v>Hospitals - Regional - $500 mil-$1 bn</v>
      </c>
      <c r="G86" s="168">
        <v>1.4076816941550203E-2</v>
      </c>
      <c r="H86" s="168">
        <v>2.9778791859887119E-2</v>
      </c>
      <c r="I86" s="168">
        <v>2.0867736416394639E-2</v>
      </c>
      <c r="J86" s="168">
        <v>2.4153144033843249E-2</v>
      </c>
      <c r="K86" s="168">
        <v>6.2604382507258749E-2</v>
      </c>
      <c r="L86" s="168">
        <v>1.6311602682259001E-2</v>
      </c>
      <c r="M86" s="168">
        <v>3.3122435797162272E-2</v>
      </c>
      <c r="N86" s="168">
        <v>2.9086139288576795E-2</v>
      </c>
      <c r="O86" s="168">
        <v>3.9402768279161858E-2</v>
      </c>
      <c r="P86" s="168">
        <v>2.6107494299619949E-2</v>
      </c>
      <c r="Q86" s="168">
        <v>6.9598219468752064E-3</v>
      </c>
      <c r="R86" s="168">
        <v>0.12104347861872797</v>
      </c>
      <c r="S86" s="168">
        <v>6.4928904871829007E-2</v>
      </c>
      <c r="T86" s="169">
        <v>9.0586631203036488E-3</v>
      </c>
      <c r="U86" s="169">
        <v>2.381734744624904E-2</v>
      </c>
      <c r="V86" s="169">
        <v>2.8209989584403381E-2</v>
      </c>
      <c r="W86" s="169">
        <v>2.9476062907675352E-2</v>
      </c>
      <c r="X86" s="169">
        <v>2.8222804344675462E-2</v>
      </c>
      <c r="Y86" s="169">
        <v>2.7505958918067092E-2</v>
      </c>
      <c r="Z86" s="169">
        <v>2.6901035243244904E-2</v>
      </c>
      <c r="AA86" s="169">
        <v>2.6347518302506614E-2</v>
      </c>
      <c r="AB86" s="169">
        <v>2.5866818790999512E-2</v>
      </c>
      <c r="AC86" s="169">
        <v>2.5444735836097396E-2</v>
      </c>
      <c r="AD86" s="170">
        <v>2.3728609829692715E-2</v>
      </c>
      <c r="AE86" s="170">
        <v>2.6412953030977793E-2</v>
      </c>
      <c r="AF86" s="170">
        <v>2.5069902746926109E-2</v>
      </c>
    </row>
    <row r="87" spans="2:32" x14ac:dyDescent="0.3">
      <c r="B87" s="1" t="s">
        <v>57</v>
      </c>
      <c r="C87" s="1" t="s">
        <v>27</v>
      </c>
      <c r="D87" s="1" t="s">
        <v>53</v>
      </c>
      <c r="E87" s="1" t="s">
        <v>52</v>
      </c>
      <c r="F87" s="5" t="str">
        <f t="shared" si="1"/>
        <v>Hospitals - Regional - $1 bn-$5 bn</v>
      </c>
      <c r="G87" s="168">
        <v>1.4076816941550203E-2</v>
      </c>
      <c r="H87" s="168">
        <v>2.9778791859887119E-2</v>
      </c>
      <c r="I87" s="168">
        <v>2.0867736416394639E-2</v>
      </c>
      <c r="J87" s="168">
        <v>2.4153144033843249E-2</v>
      </c>
      <c r="K87" s="168">
        <v>6.2604382507258749E-2</v>
      </c>
      <c r="L87" s="168">
        <v>1.6311602682259001E-2</v>
      </c>
      <c r="M87" s="168">
        <v>3.3122435797162272E-2</v>
      </c>
      <c r="N87" s="168">
        <v>2.9086139288576795E-2</v>
      </c>
      <c r="O87" s="168">
        <v>3.9402768279161858E-2</v>
      </c>
      <c r="P87" s="168">
        <v>2.6107494299619949E-2</v>
      </c>
      <c r="Q87" s="168">
        <v>6.9598219468752064E-3</v>
      </c>
      <c r="R87" s="168">
        <v>0.12104347861872797</v>
      </c>
      <c r="S87" s="168">
        <v>6.4928904871829007E-2</v>
      </c>
      <c r="T87" s="169">
        <v>9.0586631203036488E-3</v>
      </c>
      <c r="U87" s="169">
        <v>2.381734744624904E-2</v>
      </c>
      <c r="V87" s="169">
        <v>2.8209989584403381E-2</v>
      </c>
      <c r="W87" s="169">
        <v>2.9476062907675352E-2</v>
      </c>
      <c r="X87" s="169">
        <v>2.8222804344675462E-2</v>
      </c>
      <c r="Y87" s="169">
        <v>2.7505958918067092E-2</v>
      </c>
      <c r="Z87" s="169">
        <v>2.6901035243244904E-2</v>
      </c>
      <c r="AA87" s="169">
        <v>2.6347518302506614E-2</v>
      </c>
      <c r="AB87" s="169">
        <v>2.5866818790999512E-2</v>
      </c>
      <c r="AC87" s="169">
        <v>2.5444735836097396E-2</v>
      </c>
      <c r="AD87" s="170">
        <v>2.3728609829692715E-2</v>
      </c>
      <c r="AE87" s="170">
        <v>2.6412953030977793E-2</v>
      </c>
      <c r="AF87" s="170">
        <v>2.5069902746926109E-2</v>
      </c>
    </row>
    <row r="88" spans="2:32" x14ac:dyDescent="0.3">
      <c r="B88" s="1" t="s">
        <v>57</v>
      </c>
      <c r="C88" s="1" t="s">
        <v>27</v>
      </c>
      <c r="D88" s="1" t="s">
        <v>53</v>
      </c>
      <c r="E88" s="1" t="s">
        <v>28</v>
      </c>
      <c r="F88" s="5" t="str">
        <f t="shared" si="1"/>
        <v>Hospitals - Regional - &gt;$5 bn</v>
      </c>
      <c r="G88" s="168">
        <v>1.4076816941550203E-2</v>
      </c>
      <c r="H88" s="168">
        <v>2.9778791859887119E-2</v>
      </c>
      <c r="I88" s="168">
        <v>2.0867736416394639E-2</v>
      </c>
      <c r="J88" s="168">
        <v>2.4153144033843249E-2</v>
      </c>
      <c r="K88" s="168">
        <v>6.2604382507258749E-2</v>
      </c>
      <c r="L88" s="168">
        <v>1.6311602682259001E-2</v>
      </c>
      <c r="M88" s="168">
        <v>3.3122435797162272E-2</v>
      </c>
      <c r="N88" s="168">
        <v>2.9086139288576795E-2</v>
      </c>
      <c r="O88" s="168">
        <v>3.9402768279161858E-2</v>
      </c>
      <c r="P88" s="168">
        <v>2.6107494299619949E-2</v>
      </c>
      <c r="Q88" s="168">
        <v>6.9598219468752064E-3</v>
      </c>
      <c r="R88" s="168">
        <v>0.12104347861872797</v>
      </c>
      <c r="S88" s="168">
        <v>6.4928904871829007E-2</v>
      </c>
      <c r="T88" s="169">
        <v>9.0586631203036488E-3</v>
      </c>
      <c r="U88" s="169">
        <v>2.381734744624904E-2</v>
      </c>
      <c r="V88" s="169">
        <v>2.8209989584403381E-2</v>
      </c>
      <c r="W88" s="169">
        <v>2.9476062907675352E-2</v>
      </c>
      <c r="X88" s="169">
        <v>2.8222804344675462E-2</v>
      </c>
      <c r="Y88" s="169">
        <v>2.7505958918067092E-2</v>
      </c>
      <c r="Z88" s="169">
        <v>2.6901035243244904E-2</v>
      </c>
      <c r="AA88" s="169">
        <v>2.6347518302506614E-2</v>
      </c>
      <c r="AB88" s="169">
        <v>2.5866818790999512E-2</v>
      </c>
      <c r="AC88" s="169">
        <v>2.5444735836097396E-2</v>
      </c>
      <c r="AD88" s="170">
        <v>2.3728609829692715E-2</v>
      </c>
      <c r="AE88" s="170">
        <v>2.6412953030977793E-2</v>
      </c>
      <c r="AF88" s="170">
        <v>2.5069902746926109E-2</v>
      </c>
    </row>
    <row r="89" spans="2:32" x14ac:dyDescent="0.3">
      <c r="B89" s="1" t="s">
        <v>57</v>
      </c>
      <c r="C89" s="1" t="s">
        <v>61</v>
      </c>
      <c r="D89" s="1" t="s">
        <v>22</v>
      </c>
      <c r="E89" s="1" t="s">
        <v>50</v>
      </c>
      <c r="F89" s="5" t="str">
        <f t="shared" si="1"/>
        <v>Schools - Metro - &lt;$250 mil</v>
      </c>
      <c r="G89" s="168">
        <v>2.2606828962930578E-2</v>
      </c>
      <c r="H89" s="168">
        <v>2.8493690879967681E-2</v>
      </c>
      <c r="I89" s="168">
        <v>2.2828697005035217E-2</v>
      </c>
      <c r="J89" s="168">
        <v>2.827587973832054E-2</v>
      </c>
      <c r="K89" s="168">
        <v>5.044262761247794E-2</v>
      </c>
      <c r="L89" s="168">
        <v>2.0058938639802404E-2</v>
      </c>
      <c r="M89" s="168">
        <v>3.2659670276282617E-2</v>
      </c>
      <c r="N89" s="168">
        <v>3.691589650153744E-2</v>
      </c>
      <c r="O89" s="168">
        <v>3.6084131961943239E-2</v>
      </c>
      <c r="P89" s="168">
        <v>2.2716203495822644E-2</v>
      </c>
      <c r="Q89" s="168">
        <v>1.9249244104380184E-2</v>
      </c>
      <c r="R89" s="168">
        <v>0.10585488327730196</v>
      </c>
      <c r="S89" s="168">
        <v>5.4283926850216553E-2</v>
      </c>
      <c r="T89" s="169">
        <v>1.4976357446754988E-2</v>
      </c>
      <c r="U89" s="169">
        <v>3.0814696661639687E-2</v>
      </c>
      <c r="V89" s="169">
        <v>3.2276538733472193E-2</v>
      </c>
      <c r="W89" s="169">
        <v>3.1620733528348932E-2</v>
      </c>
      <c r="X89" s="169">
        <v>3.0285725982208377E-2</v>
      </c>
      <c r="Y89" s="169">
        <v>2.9715385654370947E-2</v>
      </c>
      <c r="Z89" s="169">
        <v>2.913812023826012E-2</v>
      </c>
      <c r="AA89" s="169">
        <v>2.8513562035154275E-2</v>
      </c>
      <c r="AB89" s="169">
        <v>2.7990170563059597E-2</v>
      </c>
      <c r="AC89" s="169">
        <v>2.7559937440454856E-2</v>
      </c>
      <c r="AD89" s="170">
        <v>2.7973847407829933E-2</v>
      </c>
      <c r="AE89" s="170">
        <v>2.8583144187897425E-2</v>
      </c>
      <c r="AF89" s="170">
        <v>2.8278450668725919E-2</v>
      </c>
    </row>
    <row r="90" spans="2:32" x14ac:dyDescent="0.3">
      <c r="B90" s="1" t="s">
        <v>57</v>
      </c>
      <c r="C90" s="1" t="s">
        <v>61</v>
      </c>
      <c r="D90" s="1" t="s">
        <v>22</v>
      </c>
      <c r="E90" s="1" t="s">
        <v>51</v>
      </c>
      <c r="F90" s="5" t="str">
        <f t="shared" si="1"/>
        <v>Schools - Metro - $250 mil-$500 mil</v>
      </c>
      <c r="G90" s="168">
        <v>2.2606828962930578E-2</v>
      </c>
      <c r="H90" s="168">
        <v>2.8493690879967681E-2</v>
      </c>
      <c r="I90" s="168">
        <v>2.2828697005035217E-2</v>
      </c>
      <c r="J90" s="168">
        <v>2.827587973832054E-2</v>
      </c>
      <c r="K90" s="168">
        <v>5.044262761247794E-2</v>
      </c>
      <c r="L90" s="168">
        <v>2.0058938639802404E-2</v>
      </c>
      <c r="M90" s="168">
        <v>3.2659670276282617E-2</v>
      </c>
      <c r="N90" s="168">
        <v>3.691589650153744E-2</v>
      </c>
      <c r="O90" s="168">
        <v>3.6084131961943239E-2</v>
      </c>
      <c r="P90" s="168">
        <v>2.2716203495822644E-2</v>
      </c>
      <c r="Q90" s="168">
        <v>1.9249244104380184E-2</v>
      </c>
      <c r="R90" s="168">
        <v>0.10585488327730196</v>
      </c>
      <c r="S90" s="168">
        <v>5.4283926850216553E-2</v>
      </c>
      <c r="T90" s="169">
        <v>1.4976357446754988E-2</v>
      </c>
      <c r="U90" s="169">
        <v>3.0814696661639687E-2</v>
      </c>
      <c r="V90" s="169">
        <v>3.2276538733472193E-2</v>
      </c>
      <c r="W90" s="169">
        <v>3.1620733528348932E-2</v>
      </c>
      <c r="X90" s="169">
        <v>3.0285725982208377E-2</v>
      </c>
      <c r="Y90" s="169">
        <v>2.9715385654370947E-2</v>
      </c>
      <c r="Z90" s="169">
        <v>2.913812023826012E-2</v>
      </c>
      <c r="AA90" s="169">
        <v>2.8513562035154275E-2</v>
      </c>
      <c r="AB90" s="169">
        <v>2.7990170563059597E-2</v>
      </c>
      <c r="AC90" s="169">
        <v>2.7559937440454856E-2</v>
      </c>
      <c r="AD90" s="170">
        <v>2.7973847407829933E-2</v>
      </c>
      <c r="AE90" s="170">
        <v>2.8583144187897425E-2</v>
      </c>
      <c r="AF90" s="170">
        <v>2.8278450668725919E-2</v>
      </c>
    </row>
    <row r="91" spans="2:32" x14ac:dyDescent="0.3">
      <c r="B91" s="1" t="s">
        <v>57</v>
      </c>
      <c r="C91" s="1" t="s">
        <v>61</v>
      </c>
      <c r="D91" s="1" t="s">
        <v>22</v>
      </c>
      <c r="E91" s="1" t="s">
        <v>23</v>
      </c>
      <c r="F91" s="5" t="str">
        <f t="shared" si="1"/>
        <v>Schools - Metro - $500 mil-$1 bn</v>
      </c>
      <c r="G91" s="168">
        <v>2.2606828962930578E-2</v>
      </c>
      <c r="H91" s="168">
        <v>2.8493690879967681E-2</v>
      </c>
      <c r="I91" s="168">
        <v>2.2828697005035217E-2</v>
      </c>
      <c r="J91" s="168">
        <v>2.827587973832054E-2</v>
      </c>
      <c r="K91" s="168">
        <v>5.044262761247794E-2</v>
      </c>
      <c r="L91" s="168">
        <v>2.0058938639802404E-2</v>
      </c>
      <c r="M91" s="168">
        <v>3.2659670276282617E-2</v>
      </c>
      <c r="N91" s="168">
        <v>3.691589650153744E-2</v>
      </c>
      <c r="O91" s="168">
        <v>3.6084131961943239E-2</v>
      </c>
      <c r="P91" s="168">
        <v>2.2716203495822644E-2</v>
      </c>
      <c r="Q91" s="168">
        <v>1.9249244104380184E-2</v>
      </c>
      <c r="R91" s="168">
        <v>0.10585488327730196</v>
      </c>
      <c r="S91" s="168">
        <v>5.4283926850216553E-2</v>
      </c>
      <c r="T91" s="169">
        <v>1.4976357446754988E-2</v>
      </c>
      <c r="U91" s="169">
        <v>3.0814696661639687E-2</v>
      </c>
      <c r="V91" s="169">
        <v>3.2276538733472193E-2</v>
      </c>
      <c r="W91" s="169">
        <v>3.1620733528348932E-2</v>
      </c>
      <c r="X91" s="169">
        <v>3.0285725982208377E-2</v>
      </c>
      <c r="Y91" s="169">
        <v>2.9715385654370947E-2</v>
      </c>
      <c r="Z91" s="169">
        <v>2.913812023826012E-2</v>
      </c>
      <c r="AA91" s="169">
        <v>2.8513562035154275E-2</v>
      </c>
      <c r="AB91" s="169">
        <v>2.7990170563059597E-2</v>
      </c>
      <c r="AC91" s="169">
        <v>2.7559937440454856E-2</v>
      </c>
      <c r="AD91" s="170">
        <v>2.7973847407829933E-2</v>
      </c>
      <c r="AE91" s="170">
        <v>2.8583144187897425E-2</v>
      </c>
      <c r="AF91" s="170">
        <v>2.8278450668725919E-2</v>
      </c>
    </row>
    <row r="92" spans="2:32" x14ac:dyDescent="0.3">
      <c r="B92" s="1" t="s">
        <v>57</v>
      </c>
      <c r="C92" s="1" t="s">
        <v>61</v>
      </c>
      <c r="D92" s="1" t="s">
        <v>22</v>
      </c>
      <c r="E92" s="1" t="s">
        <v>52</v>
      </c>
      <c r="F92" s="5" t="str">
        <f t="shared" si="1"/>
        <v>Schools - Metro - $1 bn-$5 bn</v>
      </c>
      <c r="G92" s="168">
        <v>2.2606828962930578E-2</v>
      </c>
      <c r="H92" s="168">
        <v>2.8493690879967681E-2</v>
      </c>
      <c r="I92" s="168">
        <v>2.2828697005035217E-2</v>
      </c>
      <c r="J92" s="168">
        <v>2.827587973832054E-2</v>
      </c>
      <c r="K92" s="168">
        <v>5.044262761247794E-2</v>
      </c>
      <c r="L92" s="168">
        <v>2.0058938639802404E-2</v>
      </c>
      <c r="M92" s="168">
        <v>3.2659670276282617E-2</v>
      </c>
      <c r="N92" s="168">
        <v>3.691589650153744E-2</v>
      </c>
      <c r="O92" s="168">
        <v>3.6084131961943239E-2</v>
      </c>
      <c r="P92" s="168">
        <v>2.2716203495822644E-2</v>
      </c>
      <c r="Q92" s="168">
        <v>1.9249244104380184E-2</v>
      </c>
      <c r="R92" s="168">
        <v>0.10585488327730196</v>
      </c>
      <c r="S92" s="168">
        <v>5.4283926850216553E-2</v>
      </c>
      <c r="T92" s="169">
        <v>1.4976357446754988E-2</v>
      </c>
      <c r="U92" s="169">
        <v>3.0814696661639687E-2</v>
      </c>
      <c r="V92" s="169">
        <v>3.2276538733472193E-2</v>
      </c>
      <c r="W92" s="169">
        <v>3.1620733528348932E-2</v>
      </c>
      <c r="X92" s="169">
        <v>3.0285725982208377E-2</v>
      </c>
      <c r="Y92" s="169">
        <v>2.9715385654370947E-2</v>
      </c>
      <c r="Z92" s="169">
        <v>2.913812023826012E-2</v>
      </c>
      <c r="AA92" s="169">
        <v>2.8513562035154275E-2</v>
      </c>
      <c r="AB92" s="169">
        <v>2.7990170563059597E-2</v>
      </c>
      <c r="AC92" s="169">
        <v>2.7559937440454856E-2</v>
      </c>
      <c r="AD92" s="170">
        <v>2.7973847407829933E-2</v>
      </c>
      <c r="AE92" s="170">
        <v>2.8583144187897425E-2</v>
      </c>
      <c r="AF92" s="170">
        <v>2.8278450668725919E-2</v>
      </c>
    </row>
    <row r="93" spans="2:32" x14ac:dyDescent="0.3">
      <c r="B93" s="1" t="s">
        <v>57</v>
      </c>
      <c r="C93" s="1" t="s">
        <v>61</v>
      </c>
      <c r="D93" s="1" t="s">
        <v>22</v>
      </c>
      <c r="E93" s="1" t="s">
        <v>28</v>
      </c>
      <c r="F93" s="5" t="str">
        <f t="shared" si="1"/>
        <v>Schools - Metro - &gt;$5 bn</v>
      </c>
      <c r="G93" s="168">
        <v>2.2606828962930578E-2</v>
      </c>
      <c r="H93" s="168">
        <v>2.8493690879967681E-2</v>
      </c>
      <c r="I93" s="168">
        <v>2.2828697005035217E-2</v>
      </c>
      <c r="J93" s="168">
        <v>2.827587973832054E-2</v>
      </c>
      <c r="K93" s="168">
        <v>5.044262761247794E-2</v>
      </c>
      <c r="L93" s="168">
        <v>2.0058938639802404E-2</v>
      </c>
      <c r="M93" s="168">
        <v>3.2659670276282617E-2</v>
      </c>
      <c r="N93" s="168">
        <v>3.691589650153744E-2</v>
      </c>
      <c r="O93" s="168">
        <v>3.6084131961943239E-2</v>
      </c>
      <c r="P93" s="168">
        <v>2.2716203495822644E-2</v>
      </c>
      <c r="Q93" s="168">
        <v>1.9249244104380184E-2</v>
      </c>
      <c r="R93" s="168">
        <v>0.10585488327730196</v>
      </c>
      <c r="S93" s="168">
        <v>5.4283926850216553E-2</v>
      </c>
      <c r="T93" s="169">
        <v>1.4976357446754988E-2</v>
      </c>
      <c r="U93" s="169">
        <v>3.0814696661639687E-2</v>
      </c>
      <c r="V93" s="169">
        <v>3.2276538733472193E-2</v>
      </c>
      <c r="W93" s="169">
        <v>3.1620733528348932E-2</v>
      </c>
      <c r="X93" s="169">
        <v>3.0285725982208377E-2</v>
      </c>
      <c r="Y93" s="169">
        <v>2.9715385654370947E-2</v>
      </c>
      <c r="Z93" s="169">
        <v>2.913812023826012E-2</v>
      </c>
      <c r="AA93" s="169">
        <v>2.8513562035154275E-2</v>
      </c>
      <c r="AB93" s="169">
        <v>2.7990170563059597E-2</v>
      </c>
      <c r="AC93" s="169">
        <v>2.7559937440454856E-2</v>
      </c>
      <c r="AD93" s="170">
        <v>2.7973847407829933E-2</v>
      </c>
      <c r="AE93" s="170">
        <v>2.8583144187897425E-2</v>
      </c>
      <c r="AF93" s="170">
        <v>2.8278450668725919E-2</v>
      </c>
    </row>
    <row r="94" spans="2:32" x14ac:dyDescent="0.3">
      <c r="B94" s="1" t="s">
        <v>57</v>
      </c>
      <c r="C94" s="1" t="s">
        <v>61</v>
      </c>
      <c r="D94" s="1" t="s">
        <v>53</v>
      </c>
      <c r="E94" s="1" t="s">
        <v>50</v>
      </c>
      <c r="F94" s="5" t="str">
        <f t="shared" si="1"/>
        <v>Schools - Regional - &lt;$250 mil</v>
      </c>
      <c r="G94" s="168">
        <v>2.2606828962930578E-2</v>
      </c>
      <c r="H94" s="168">
        <v>2.8493690879967681E-2</v>
      </c>
      <c r="I94" s="168">
        <v>2.2828697005035217E-2</v>
      </c>
      <c r="J94" s="168">
        <v>2.827587973832054E-2</v>
      </c>
      <c r="K94" s="168">
        <v>5.044262761247794E-2</v>
      </c>
      <c r="L94" s="168">
        <v>2.0058938639802404E-2</v>
      </c>
      <c r="M94" s="168">
        <v>3.2659670276282617E-2</v>
      </c>
      <c r="N94" s="168">
        <v>3.691589650153744E-2</v>
      </c>
      <c r="O94" s="168">
        <v>3.6084131961943239E-2</v>
      </c>
      <c r="P94" s="168">
        <v>2.2716203495822644E-2</v>
      </c>
      <c r="Q94" s="168">
        <v>1.9249244104380184E-2</v>
      </c>
      <c r="R94" s="168">
        <v>0.10585488327730196</v>
      </c>
      <c r="S94" s="168">
        <v>5.4283926850216553E-2</v>
      </c>
      <c r="T94" s="169">
        <v>1.4976357446754988E-2</v>
      </c>
      <c r="U94" s="169">
        <v>3.0814696661639687E-2</v>
      </c>
      <c r="V94" s="169">
        <v>3.2276538733472193E-2</v>
      </c>
      <c r="W94" s="169">
        <v>3.1620733528348932E-2</v>
      </c>
      <c r="X94" s="169">
        <v>3.0285725982208377E-2</v>
      </c>
      <c r="Y94" s="169">
        <v>2.9715385654370947E-2</v>
      </c>
      <c r="Z94" s="169">
        <v>2.913812023826012E-2</v>
      </c>
      <c r="AA94" s="169">
        <v>2.8513562035154275E-2</v>
      </c>
      <c r="AB94" s="169">
        <v>2.7990170563059597E-2</v>
      </c>
      <c r="AC94" s="169">
        <v>2.7559937440454856E-2</v>
      </c>
      <c r="AD94" s="170">
        <v>2.7973847407829933E-2</v>
      </c>
      <c r="AE94" s="170">
        <v>2.8583144187897425E-2</v>
      </c>
      <c r="AF94" s="170">
        <v>2.8278450668725919E-2</v>
      </c>
    </row>
    <row r="95" spans="2:32" x14ac:dyDescent="0.3">
      <c r="B95" s="1" t="s">
        <v>57</v>
      </c>
      <c r="C95" s="1" t="s">
        <v>61</v>
      </c>
      <c r="D95" s="1" t="s">
        <v>53</v>
      </c>
      <c r="E95" s="1" t="s">
        <v>51</v>
      </c>
      <c r="F95" s="5" t="str">
        <f t="shared" si="1"/>
        <v>Schools - Regional - $250 mil-$500 mil</v>
      </c>
      <c r="G95" s="168">
        <v>2.2606828962930578E-2</v>
      </c>
      <c r="H95" s="168">
        <v>2.8493690879967681E-2</v>
      </c>
      <c r="I95" s="168">
        <v>2.2828697005035217E-2</v>
      </c>
      <c r="J95" s="168">
        <v>2.827587973832054E-2</v>
      </c>
      <c r="K95" s="168">
        <v>5.044262761247794E-2</v>
      </c>
      <c r="L95" s="168">
        <v>2.0058938639802404E-2</v>
      </c>
      <c r="M95" s="168">
        <v>3.2659670276282617E-2</v>
      </c>
      <c r="N95" s="168">
        <v>3.691589650153744E-2</v>
      </c>
      <c r="O95" s="168">
        <v>3.6084131961943239E-2</v>
      </c>
      <c r="P95" s="168">
        <v>2.2716203495822644E-2</v>
      </c>
      <c r="Q95" s="168">
        <v>1.9249244104380184E-2</v>
      </c>
      <c r="R95" s="168">
        <v>0.10585488327730196</v>
      </c>
      <c r="S95" s="168">
        <v>5.4283926850216553E-2</v>
      </c>
      <c r="T95" s="169">
        <v>1.4976357446754988E-2</v>
      </c>
      <c r="U95" s="169">
        <v>3.0814696661639687E-2</v>
      </c>
      <c r="V95" s="169">
        <v>3.2276538733472193E-2</v>
      </c>
      <c r="W95" s="169">
        <v>3.1620733528348932E-2</v>
      </c>
      <c r="X95" s="169">
        <v>3.0285725982208377E-2</v>
      </c>
      <c r="Y95" s="169">
        <v>2.9715385654370947E-2</v>
      </c>
      <c r="Z95" s="169">
        <v>2.913812023826012E-2</v>
      </c>
      <c r="AA95" s="169">
        <v>2.8513562035154275E-2</v>
      </c>
      <c r="AB95" s="169">
        <v>2.7990170563059597E-2</v>
      </c>
      <c r="AC95" s="169">
        <v>2.7559937440454856E-2</v>
      </c>
      <c r="AD95" s="170">
        <v>2.7973847407829933E-2</v>
      </c>
      <c r="AE95" s="170">
        <v>2.8583144187897425E-2</v>
      </c>
      <c r="AF95" s="170">
        <v>2.8278450668725919E-2</v>
      </c>
    </row>
    <row r="96" spans="2:32" x14ac:dyDescent="0.3">
      <c r="B96" s="1" t="s">
        <v>57</v>
      </c>
      <c r="C96" s="1" t="s">
        <v>61</v>
      </c>
      <c r="D96" s="1" t="s">
        <v>53</v>
      </c>
      <c r="E96" s="1" t="s">
        <v>23</v>
      </c>
      <c r="F96" s="5" t="str">
        <f t="shared" si="1"/>
        <v>Schools - Regional - $500 mil-$1 bn</v>
      </c>
      <c r="G96" s="168">
        <v>2.2606828962930578E-2</v>
      </c>
      <c r="H96" s="168">
        <v>2.8493690879967681E-2</v>
      </c>
      <c r="I96" s="168">
        <v>2.2828697005035217E-2</v>
      </c>
      <c r="J96" s="168">
        <v>2.827587973832054E-2</v>
      </c>
      <c r="K96" s="168">
        <v>5.044262761247794E-2</v>
      </c>
      <c r="L96" s="168">
        <v>2.0058938639802404E-2</v>
      </c>
      <c r="M96" s="168">
        <v>3.2659670276282617E-2</v>
      </c>
      <c r="N96" s="168">
        <v>3.691589650153744E-2</v>
      </c>
      <c r="O96" s="168">
        <v>3.6084131961943239E-2</v>
      </c>
      <c r="P96" s="168">
        <v>2.2716203495822644E-2</v>
      </c>
      <c r="Q96" s="168">
        <v>1.9249244104380184E-2</v>
      </c>
      <c r="R96" s="168">
        <v>0.10585488327730196</v>
      </c>
      <c r="S96" s="168">
        <v>5.4283926850216553E-2</v>
      </c>
      <c r="T96" s="169">
        <v>1.4976357446754988E-2</v>
      </c>
      <c r="U96" s="169">
        <v>3.0814696661639687E-2</v>
      </c>
      <c r="V96" s="169">
        <v>3.2276538733472193E-2</v>
      </c>
      <c r="W96" s="169">
        <v>3.1620733528348932E-2</v>
      </c>
      <c r="X96" s="169">
        <v>3.0285725982208377E-2</v>
      </c>
      <c r="Y96" s="169">
        <v>2.9715385654370947E-2</v>
      </c>
      <c r="Z96" s="169">
        <v>2.913812023826012E-2</v>
      </c>
      <c r="AA96" s="169">
        <v>2.8513562035154275E-2</v>
      </c>
      <c r="AB96" s="169">
        <v>2.7990170563059597E-2</v>
      </c>
      <c r="AC96" s="169">
        <v>2.7559937440454856E-2</v>
      </c>
      <c r="AD96" s="170">
        <v>2.7973847407829933E-2</v>
      </c>
      <c r="AE96" s="170">
        <v>2.8583144187897425E-2</v>
      </c>
      <c r="AF96" s="170">
        <v>2.8278450668725919E-2</v>
      </c>
    </row>
    <row r="97" spans="2:32" x14ac:dyDescent="0.3">
      <c r="B97" s="1" t="s">
        <v>57</v>
      </c>
      <c r="C97" s="1" t="s">
        <v>61</v>
      </c>
      <c r="D97" s="1" t="s">
        <v>53</v>
      </c>
      <c r="E97" s="1" t="s">
        <v>52</v>
      </c>
      <c r="F97" s="5" t="str">
        <f t="shared" si="1"/>
        <v>Schools - Regional - $1 bn-$5 bn</v>
      </c>
      <c r="G97" s="168">
        <v>2.2606828962930578E-2</v>
      </c>
      <c r="H97" s="168">
        <v>2.8493690879967681E-2</v>
      </c>
      <c r="I97" s="168">
        <v>2.2828697005035217E-2</v>
      </c>
      <c r="J97" s="168">
        <v>2.827587973832054E-2</v>
      </c>
      <c r="K97" s="168">
        <v>5.044262761247794E-2</v>
      </c>
      <c r="L97" s="168">
        <v>2.0058938639802404E-2</v>
      </c>
      <c r="M97" s="168">
        <v>3.2659670276282617E-2</v>
      </c>
      <c r="N97" s="168">
        <v>3.691589650153744E-2</v>
      </c>
      <c r="O97" s="168">
        <v>3.6084131961943239E-2</v>
      </c>
      <c r="P97" s="168">
        <v>2.2716203495822644E-2</v>
      </c>
      <c r="Q97" s="168">
        <v>1.9249244104380184E-2</v>
      </c>
      <c r="R97" s="168">
        <v>0.10585488327730196</v>
      </c>
      <c r="S97" s="168">
        <v>5.4283926850216553E-2</v>
      </c>
      <c r="T97" s="169">
        <v>1.4976357446754988E-2</v>
      </c>
      <c r="U97" s="169">
        <v>3.0814696661639687E-2</v>
      </c>
      <c r="V97" s="169">
        <v>3.2276538733472193E-2</v>
      </c>
      <c r="W97" s="169">
        <v>3.1620733528348932E-2</v>
      </c>
      <c r="X97" s="169">
        <v>3.0285725982208377E-2</v>
      </c>
      <c r="Y97" s="169">
        <v>2.9715385654370947E-2</v>
      </c>
      <c r="Z97" s="169">
        <v>2.913812023826012E-2</v>
      </c>
      <c r="AA97" s="169">
        <v>2.8513562035154275E-2</v>
      </c>
      <c r="AB97" s="169">
        <v>2.7990170563059597E-2</v>
      </c>
      <c r="AC97" s="169">
        <v>2.7559937440454856E-2</v>
      </c>
      <c r="AD97" s="170">
        <v>2.7973847407829933E-2</v>
      </c>
      <c r="AE97" s="170">
        <v>2.8583144187897425E-2</v>
      </c>
      <c r="AF97" s="170">
        <v>2.8278450668725919E-2</v>
      </c>
    </row>
    <row r="98" spans="2:32" x14ac:dyDescent="0.3">
      <c r="B98" s="1" t="s">
        <v>57</v>
      </c>
      <c r="C98" s="1" t="s">
        <v>61</v>
      </c>
      <c r="D98" s="1" t="s">
        <v>53</v>
      </c>
      <c r="E98" s="1" t="s">
        <v>28</v>
      </c>
      <c r="F98" s="5" t="str">
        <f t="shared" si="1"/>
        <v>Schools - Regional - &gt;$5 bn</v>
      </c>
      <c r="G98" s="168">
        <v>2.2606828962930578E-2</v>
      </c>
      <c r="H98" s="168">
        <v>2.8493690879967681E-2</v>
      </c>
      <c r="I98" s="168">
        <v>2.2828697005035217E-2</v>
      </c>
      <c r="J98" s="168">
        <v>2.827587973832054E-2</v>
      </c>
      <c r="K98" s="168">
        <v>5.044262761247794E-2</v>
      </c>
      <c r="L98" s="168">
        <v>2.0058938639802404E-2</v>
      </c>
      <c r="M98" s="168">
        <v>3.2659670276282617E-2</v>
      </c>
      <c r="N98" s="168">
        <v>3.691589650153744E-2</v>
      </c>
      <c r="O98" s="168">
        <v>3.6084131961943239E-2</v>
      </c>
      <c r="P98" s="168">
        <v>2.2716203495822644E-2</v>
      </c>
      <c r="Q98" s="168">
        <v>1.9249244104380184E-2</v>
      </c>
      <c r="R98" s="168">
        <v>0.10585488327730196</v>
      </c>
      <c r="S98" s="168">
        <v>5.4283926850216553E-2</v>
      </c>
      <c r="T98" s="169">
        <v>1.4976357446754988E-2</v>
      </c>
      <c r="U98" s="169">
        <v>3.0814696661639687E-2</v>
      </c>
      <c r="V98" s="169">
        <v>3.2276538733472193E-2</v>
      </c>
      <c r="W98" s="169">
        <v>3.1620733528348932E-2</v>
      </c>
      <c r="X98" s="169">
        <v>3.0285725982208377E-2</v>
      </c>
      <c r="Y98" s="169">
        <v>2.9715385654370947E-2</v>
      </c>
      <c r="Z98" s="169">
        <v>2.913812023826012E-2</v>
      </c>
      <c r="AA98" s="169">
        <v>2.8513562035154275E-2</v>
      </c>
      <c r="AB98" s="169">
        <v>2.7990170563059597E-2</v>
      </c>
      <c r="AC98" s="169">
        <v>2.7559937440454856E-2</v>
      </c>
      <c r="AD98" s="170">
        <v>2.7973847407829933E-2</v>
      </c>
      <c r="AE98" s="170">
        <v>2.8583144187897425E-2</v>
      </c>
      <c r="AF98" s="170">
        <v>2.8278450668725919E-2</v>
      </c>
    </row>
    <row r="99" spans="2:32" x14ac:dyDescent="0.3">
      <c r="B99" s="1" t="s">
        <v>62</v>
      </c>
      <c r="C99" s="1" t="s">
        <v>63</v>
      </c>
      <c r="D99" s="1" t="s">
        <v>22</v>
      </c>
      <c r="E99" s="1" t="s">
        <v>50</v>
      </c>
      <c r="F99" s="5" t="str">
        <f t="shared" si="1"/>
        <v>Solar - Metro - &lt;$250 mil</v>
      </c>
      <c r="G99" s="168">
        <v>8.836242089621844E-3</v>
      </c>
      <c r="H99" s="168">
        <v>1.8884071772207259E-2</v>
      </c>
      <c r="I99" s="168">
        <v>1.8753886392060732E-2</v>
      </c>
      <c r="J99" s="168">
        <v>1.5358361065502001E-2</v>
      </c>
      <c r="K99" s="168">
        <v>5.1413338970097956E-2</v>
      </c>
      <c r="L99" s="168">
        <v>-6.5780861118013784E-3</v>
      </c>
      <c r="M99" s="168">
        <v>9.1214119358330129E-3</v>
      </c>
      <c r="N99" s="168">
        <v>3.8576433576579902E-2</v>
      </c>
      <c r="O99" s="168">
        <v>2.3169479114818269E-2</v>
      </c>
      <c r="P99" s="168">
        <v>2.2749112778593018E-2</v>
      </c>
      <c r="Q99" s="168">
        <v>-4.9976652386813612E-3</v>
      </c>
      <c r="R99" s="168">
        <v>0.12672331122444178</v>
      </c>
      <c r="S99" s="168">
        <v>6.3953401642902849E-2</v>
      </c>
      <c r="T99" s="169">
        <v>2.3535429499226185E-2</v>
      </c>
      <c r="U99" s="169">
        <v>6.1167987982431921E-2</v>
      </c>
      <c r="V99" s="169">
        <v>3.4067898953524946E-2</v>
      </c>
      <c r="W99" s="169">
        <v>2.8976982084338868E-2</v>
      </c>
      <c r="X99" s="169">
        <v>2.7970901032575022E-2</v>
      </c>
      <c r="Y99" s="169">
        <v>2.6954314240336404E-2</v>
      </c>
      <c r="Z99" s="169">
        <v>2.6018780204364194E-2</v>
      </c>
      <c r="AA99" s="169">
        <v>2.5193509098705397E-2</v>
      </c>
      <c r="AB99" s="169">
        <v>2.4465447941430584E-2</v>
      </c>
      <c r="AC99" s="169">
        <v>2.3816041364254244E-2</v>
      </c>
      <c r="AD99" s="170">
        <v>3.5057583367791523E-2</v>
      </c>
      <c r="AE99" s="170">
        <v>2.5289017567898364E-2</v>
      </c>
      <c r="AF99" s="170">
        <v>3.0161721661878582E-2</v>
      </c>
    </row>
    <row r="100" spans="2:32" x14ac:dyDescent="0.3">
      <c r="B100" s="1" t="s">
        <v>62</v>
      </c>
      <c r="C100" s="1" t="s">
        <v>63</v>
      </c>
      <c r="D100" s="1" t="s">
        <v>22</v>
      </c>
      <c r="E100" s="1" t="s">
        <v>51</v>
      </c>
      <c r="F100" s="5" t="str">
        <f t="shared" si="1"/>
        <v>Solar - Metro - $250 mil-$500 mil</v>
      </c>
      <c r="G100" s="168">
        <v>8.836242089621844E-3</v>
      </c>
      <c r="H100" s="168">
        <v>1.8884071772207259E-2</v>
      </c>
      <c r="I100" s="168">
        <v>1.8753886392060732E-2</v>
      </c>
      <c r="J100" s="168">
        <v>1.5358361065502001E-2</v>
      </c>
      <c r="K100" s="168">
        <v>5.1413338970097956E-2</v>
      </c>
      <c r="L100" s="168">
        <v>-6.5780861118013784E-3</v>
      </c>
      <c r="M100" s="168">
        <v>9.1214119358330129E-3</v>
      </c>
      <c r="N100" s="168">
        <v>3.8576433576579902E-2</v>
      </c>
      <c r="O100" s="168">
        <v>2.3169479114818269E-2</v>
      </c>
      <c r="P100" s="168">
        <v>2.2749112778593018E-2</v>
      </c>
      <c r="Q100" s="168">
        <v>-4.9976652386813612E-3</v>
      </c>
      <c r="R100" s="168">
        <v>0.12672331122444178</v>
      </c>
      <c r="S100" s="168">
        <v>6.3953401642902849E-2</v>
      </c>
      <c r="T100" s="169">
        <v>2.3535429499226185E-2</v>
      </c>
      <c r="U100" s="169">
        <v>6.1167987982431921E-2</v>
      </c>
      <c r="V100" s="169">
        <v>3.4067898953524946E-2</v>
      </c>
      <c r="W100" s="169">
        <v>2.8976982084338868E-2</v>
      </c>
      <c r="X100" s="169">
        <v>2.7970901032575022E-2</v>
      </c>
      <c r="Y100" s="169">
        <v>2.6954314240336404E-2</v>
      </c>
      <c r="Z100" s="169">
        <v>2.6018780204364194E-2</v>
      </c>
      <c r="AA100" s="169">
        <v>2.5193509098705397E-2</v>
      </c>
      <c r="AB100" s="169">
        <v>2.4465447941430584E-2</v>
      </c>
      <c r="AC100" s="169">
        <v>2.3816041364254244E-2</v>
      </c>
      <c r="AD100" s="170">
        <v>3.5057583367791523E-2</v>
      </c>
      <c r="AE100" s="170">
        <v>2.5289017567898364E-2</v>
      </c>
      <c r="AF100" s="170">
        <v>3.0161721661878582E-2</v>
      </c>
    </row>
    <row r="101" spans="2:32" x14ac:dyDescent="0.3">
      <c r="B101" s="1" t="s">
        <v>62</v>
      </c>
      <c r="C101" s="1" t="s">
        <v>63</v>
      </c>
      <c r="D101" s="1" t="s">
        <v>22</v>
      </c>
      <c r="E101" s="1" t="s">
        <v>23</v>
      </c>
      <c r="F101" s="5" t="str">
        <f t="shared" si="1"/>
        <v>Solar - Metro - $500 mil-$1 bn</v>
      </c>
      <c r="G101" s="168">
        <v>0</v>
      </c>
      <c r="H101" s="168">
        <v>0</v>
      </c>
      <c r="I101" s="168">
        <v>0</v>
      </c>
      <c r="J101" s="168">
        <v>0</v>
      </c>
      <c r="K101" s="168">
        <v>0</v>
      </c>
      <c r="L101" s="168">
        <v>0</v>
      </c>
      <c r="M101" s="168">
        <v>0</v>
      </c>
      <c r="N101" s="168">
        <v>0</v>
      </c>
      <c r="O101" s="168">
        <v>0</v>
      </c>
      <c r="P101" s="168">
        <v>0</v>
      </c>
      <c r="Q101" s="168">
        <v>0</v>
      </c>
      <c r="R101" s="168">
        <v>0</v>
      </c>
      <c r="S101" s="168">
        <v>0</v>
      </c>
      <c r="T101" s="169">
        <v>0</v>
      </c>
      <c r="U101" s="169">
        <v>0</v>
      </c>
      <c r="V101" s="169">
        <v>0</v>
      </c>
      <c r="W101" s="169">
        <v>0</v>
      </c>
      <c r="X101" s="169">
        <v>0</v>
      </c>
      <c r="Y101" s="169">
        <v>0</v>
      </c>
      <c r="Z101" s="169">
        <v>0</v>
      </c>
      <c r="AA101" s="169">
        <v>0</v>
      </c>
      <c r="AB101" s="169">
        <v>0</v>
      </c>
      <c r="AC101" s="169">
        <v>0</v>
      </c>
      <c r="AD101" s="170">
        <v>0</v>
      </c>
      <c r="AE101" s="170">
        <v>0</v>
      </c>
      <c r="AF101" s="170">
        <v>0</v>
      </c>
    </row>
    <row r="102" spans="2:32" x14ac:dyDescent="0.3">
      <c r="B102" s="1" t="s">
        <v>62</v>
      </c>
      <c r="C102" s="1" t="s">
        <v>63</v>
      </c>
      <c r="D102" s="1" t="s">
        <v>22</v>
      </c>
      <c r="E102" s="1" t="s">
        <v>52</v>
      </c>
      <c r="F102" s="5" t="str">
        <f t="shared" si="1"/>
        <v>Solar - Metro - $1 bn-$5 bn</v>
      </c>
      <c r="G102" s="168">
        <v>0</v>
      </c>
      <c r="H102" s="168">
        <v>0</v>
      </c>
      <c r="I102" s="168">
        <v>0</v>
      </c>
      <c r="J102" s="168">
        <v>0</v>
      </c>
      <c r="K102" s="168">
        <v>0</v>
      </c>
      <c r="L102" s="168">
        <v>0</v>
      </c>
      <c r="M102" s="168">
        <v>0</v>
      </c>
      <c r="N102" s="168">
        <v>0</v>
      </c>
      <c r="O102" s="168">
        <v>0</v>
      </c>
      <c r="P102" s="168">
        <v>0</v>
      </c>
      <c r="Q102" s="168">
        <v>0</v>
      </c>
      <c r="R102" s="168">
        <v>0</v>
      </c>
      <c r="S102" s="168">
        <v>0</v>
      </c>
      <c r="T102" s="169">
        <v>0</v>
      </c>
      <c r="U102" s="169">
        <v>0</v>
      </c>
      <c r="V102" s="169">
        <v>0</v>
      </c>
      <c r="W102" s="169">
        <v>0</v>
      </c>
      <c r="X102" s="169">
        <v>0</v>
      </c>
      <c r="Y102" s="169">
        <v>0</v>
      </c>
      <c r="Z102" s="169">
        <v>0</v>
      </c>
      <c r="AA102" s="169">
        <v>0</v>
      </c>
      <c r="AB102" s="169">
        <v>0</v>
      </c>
      <c r="AC102" s="169">
        <v>0</v>
      </c>
      <c r="AD102" s="170">
        <v>0</v>
      </c>
      <c r="AE102" s="170">
        <v>0</v>
      </c>
      <c r="AF102" s="170">
        <v>0</v>
      </c>
    </row>
    <row r="103" spans="2:32" x14ac:dyDescent="0.3">
      <c r="B103" s="1" t="s">
        <v>62</v>
      </c>
      <c r="C103" s="1" t="s">
        <v>63</v>
      </c>
      <c r="D103" s="1" t="s">
        <v>22</v>
      </c>
      <c r="E103" s="1" t="s">
        <v>28</v>
      </c>
      <c r="F103" s="5" t="str">
        <f t="shared" si="1"/>
        <v>Solar - Metro - &gt;$5 bn</v>
      </c>
      <c r="G103" s="168">
        <v>0</v>
      </c>
      <c r="H103" s="168">
        <v>0</v>
      </c>
      <c r="I103" s="168">
        <v>0</v>
      </c>
      <c r="J103" s="168">
        <v>0</v>
      </c>
      <c r="K103" s="168">
        <v>0</v>
      </c>
      <c r="L103" s="168">
        <v>0</v>
      </c>
      <c r="M103" s="168">
        <v>0</v>
      </c>
      <c r="N103" s="168">
        <v>0</v>
      </c>
      <c r="O103" s="168">
        <v>0</v>
      </c>
      <c r="P103" s="168">
        <v>0</v>
      </c>
      <c r="Q103" s="168">
        <v>0</v>
      </c>
      <c r="R103" s="168">
        <v>0</v>
      </c>
      <c r="S103" s="168">
        <v>0</v>
      </c>
      <c r="T103" s="169">
        <v>0</v>
      </c>
      <c r="U103" s="169">
        <v>0</v>
      </c>
      <c r="V103" s="169">
        <v>0</v>
      </c>
      <c r="W103" s="169">
        <v>0</v>
      </c>
      <c r="X103" s="169">
        <v>0</v>
      </c>
      <c r="Y103" s="169">
        <v>0</v>
      </c>
      <c r="Z103" s="169">
        <v>0</v>
      </c>
      <c r="AA103" s="169">
        <v>0</v>
      </c>
      <c r="AB103" s="169">
        <v>0</v>
      </c>
      <c r="AC103" s="169">
        <v>0</v>
      </c>
      <c r="AD103" s="170">
        <v>0</v>
      </c>
      <c r="AE103" s="170">
        <v>0</v>
      </c>
      <c r="AF103" s="170">
        <v>0</v>
      </c>
    </row>
    <row r="104" spans="2:32" x14ac:dyDescent="0.3">
      <c r="B104" s="1" t="s">
        <v>62</v>
      </c>
      <c r="C104" s="1" t="s">
        <v>63</v>
      </c>
      <c r="D104" s="1" t="s">
        <v>53</v>
      </c>
      <c r="E104" s="1" t="s">
        <v>50</v>
      </c>
      <c r="F104" s="5" t="str">
        <f t="shared" si="1"/>
        <v>Solar - Regional - &lt;$250 mil</v>
      </c>
      <c r="G104" s="168">
        <v>8.836242089621844E-3</v>
      </c>
      <c r="H104" s="168">
        <v>1.8884071772207259E-2</v>
      </c>
      <c r="I104" s="168">
        <v>1.8753886392060732E-2</v>
      </c>
      <c r="J104" s="168">
        <v>1.5358361065502001E-2</v>
      </c>
      <c r="K104" s="168">
        <v>5.1413338970097956E-2</v>
      </c>
      <c r="L104" s="168">
        <v>-6.5780861118013784E-3</v>
      </c>
      <c r="M104" s="168">
        <v>9.1214119358330129E-3</v>
      </c>
      <c r="N104" s="168">
        <v>3.8576433576579902E-2</v>
      </c>
      <c r="O104" s="168">
        <v>2.3169479114818269E-2</v>
      </c>
      <c r="P104" s="168">
        <v>2.2749112778593018E-2</v>
      </c>
      <c r="Q104" s="168">
        <v>-4.9976652386813612E-3</v>
      </c>
      <c r="R104" s="168">
        <v>0.12672331122444178</v>
      </c>
      <c r="S104" s="168">
        <v>6.3953401642902849E-2</v>
      </c>
      <c r="T104" s="169">
        <v>2.3535429499226185E-2</v>
      </c>
      <c r="U104" s="169">
        <v>6.1167987982431921E-2</v>
      </c>
      <c r="V104" s="169">
        <v>3.4067898953524946E-2</v>
      </c>
      <c r="W104" s="169">
        <v>2.8976982084338868E-2</v>
      </c>
      <c r="X104" s="169">
        <v>2.7970901032575022E-2</v>
      </c>
      <c r="Y104" s="169">
        <v>2.6954314240336404E-2</v>
      </c>
      <c r="Z104" s="169">
        <v>2.6018780204364194E-2</v>
      </c>
      <c r="AA104" s="169">
        <v>2.5193509098705397E-2</v>
      </c>
      <c r="AB104" s="169">
        <v>2.4465447941430584E-2</v>
      </c>
      <c r="AC104" s="169">
        <v>2.3816041364254244E-2</v>
      </c>
      <c r="AD104" s="170">
        <v>3.5057583367791523E-2</v>
      </c>
      <c r="AE104" s="170">
        <v>2.5289017567898364E-2</v>
      </c>
      <c r="AF104" s="170">
        <v>3.0161721661878582E-2</v>
      </c>
    </row>
    <row r="105" spans="2:32" x14ac:dyDescent="0.3">
      <c r="B105" s="1" t="s">
        <v>62</v>
      </c>
      <c r="C105" s="1" t="s">
        <v>63</v>
      </c>
      <c r="D105" s="1" t="s">
        <v>53</v>
      </c>
      <c r="E105" s="1" t="s">
        <v>51</v>
      </c>
      <c r="F105" s="5" t="str">
        <f t="shared" si="1"/>
        <v>Solar - Regional - $250 mil-$500 mil</v>
      </c>
      <c r="G105" s="168">
        <v>8.836242089621844E-3</v>
      </c>
      <c r="H105" s="168">
        <v>1.8884071772207259E-2</v>
      </c>
      <c r="I105" s="168">
        <v>1.8753886392060732E-2</v>
      </c>
      <c r="J105" s="168">
        <v>1.5358361065502001E-2</v>
      </c>
      <c r="K105" s="168">
        <v>5.1413338970097956E-2</v>
      </c>
      <c r="L105" s="168">
        <v>-6.5780861118013784E-3</v>
      </c>
      <c r="M105" s="168">
        <v>9.1214119358330129E-3</v>
      </c>
      <c r="N105" s="168">
        <v>3.8576433576579902E-2</v>
      </c>
      <c r="O105" s="168">
        <v>2.3169479114818269E-2</v>
      </c>
      <c r="P105" s="168">
        <v>2.2749112778593018E-2</v>
      </c>
      <c r="Q105" s="168">
        <v>-4.9976652386813612E-3</v>
      </c>
      <c r="R105" s="168">
        <v>0.12672331122444178</v>
      </c>
      <c r="S105" s="168">
        <v>6.3953401642902849E-2</v>
      </c>
      <c r="T105" s="169">
        <v>2.3535429499226185E-2</v>
      </c>
      <c r="U105" s="169">
        <v>6.1167987982431921E-2</v>
      </c>
      <c r="V105" s="169">
        <v>3.4067898953524946E-2</v>
      </c>
      <c r="W105" s="169">
        <v>2.8976982084338868E-2</v>
      </c>
      <c r="X105" s="169">
        <v>2.7970901032575022E-2</v>
      </c>
      <c r="Y105" s="169">
        <v>2.6954314240336404E-2</v>
      </c>
      <c r="Z105" s="169">
        <v>2.6018780204364194E-2</v>
      </c>
      <c r="AA105" s="169">
        <v>2.5193509098705397E-2</v>
      </c>
      <c r="AB105" s="169">
        <v>2.4465447941430584E-2</v>
      </c>
      <c r="AC105" s="169">
        <v>2.3816041364254244E-2</v>
      </c>
      <c r="AD105" s="170">
        <v>3.5057583367791523E-2</v>
      </c>
      <c r="AE105" s="170">
        <v>2.5289017567898364E-2</v>
      </c>
      <c r="AF105" s="170">
        <v>3.0161721661878582E-2</v>
      </c>
    </row>
    <row r="106" spans="2:32" x14ac:dyDescent="0.3">
      <c r="B106" s="1" t="s">
        <v>62</v>
      </c>
      <c r="C106" s="1" t="s">
        <v>63</v>
      </c>
      <c r="D106" s="1" t="s">
        <v>53</v>
      </c>
      <c r="E106" s="1" t="s">
        <v>23</v>
      </c>
      <c r="F106" s="5" t="str">
        <f t="shared" si="1"/>
        <v>Solar - Regional - $500 mil-$1 bn</v>
      </c>
      <c r="G106" s="168">
        <v>0</v>
      </c>
      <c r="H106" s="168">
        <v>0</v>
      </c>
      <c r="I106" s="168">
        <v>0</v>
      </c>
      <c r="J106" s="168">
        <v>0</v>
      </c>
      <c r="K106" s="168">
        <v>0</v>
      </c>
      <c r="L106" s="168">
        <v>0</v>
      </c>
      <c r="M106" s="168">
        <v>0</v>
      </c>
      <c r="N106" s="168">
        <v>0</v>
      </c>
      <c r="O106" s="168">
        <v>0</v>
      </c>
      <c r="P106" s="168">
        <v>0</v>
      </c>
      <c r="Q106" s="168">
        <v>0</v>
      </c>
      <c r="R106" s="168">
        <v>0</v>
      </c>
      <c r="S106" s="168">
        <v>0</v>
      </c>
      <c r="T106" s="169">
        <v>0</v>
      </c>
      <c r="U106" s="169">
        <v>0</v>
      </c>
      <c r="V106" s="169">
        <v>0</v>
      </c>
      <c r="W106" s="169">
        <v>0</v>
      </c>
      <c r="X106" s="169">
        <v>0</v>
      </c>
      <c r="Y106" s="169">
        <v>0</v>
      </c>
      <c r="Z106" s="169">
        <v>0</v>
      </c>
      <c r="AA106" s="169">
        <v>0</v>
      </c>
      <c r="AB106" s="169">
        <v>0</v>
      </c>
      <c r="AC106" s="169">
        <v>0</v>
      </c>
      <c r="AD106" s="170">
        <v>0</v>
      </c>
      <c r="AE106" s="170">
        <v>0</v>
      </c>
      <c r="AF106" s="170">
        <v>0</v>
      </c>
    </row>
    <row r="107" spans="2:32" x14ac:dyDescent="0.3">
      <c r="B107" s="1" t="s">
        <v>62</v>
      </c>
      <c r="C107" s="1" t="s">
        <v>63</v>
      </c>
      <c r="D107" s="1" t="s">
        <v>53</v>
      </c>
      <c r="E107" s="1" t="s">
        <v>52</v>
      </c>
      <c r="F107" s="5" t="str">
        <f t="shared" si="1"/>
        <v>Solar - Regional - $1 bn-$5 bn</v>
      </c>
      <c r="G107" s="168">
        <v>0</v>
      </c>
      <c r="H107" s="168">
        <v>0</v>
      </c>
      <c r="I107" s="168">
        <v>0</v>
      </c>
      <c r="J107" s="168">
        <v>0</v>
      </c>
      <c r="K107" s="168">
        <v>0</v>
      </c>
      <c r="L107" s="168">
        <v>0</v>
      </c>
      <c r="M107" s="168">
        <v>0</v>
      </c>
      <c r="N107" s="168">
        <v>0</v>
      </c>
      <c r="O107" s="168">
        <v>0</v>
      </c>
      <c r="P107" s="168">
        <v>0</v>
      </c>
      <c r="Q107" s="168">
        <v>0</v>
      </c>
      <c r="R107" s="168">
        <v>0</v>
      </c>
      <c r="S107" s="168">
        <v>0</v>
      </c>
      <c r="T107" s="169">
        <v>0</v>
      </c>
      <c r="U107" s="169">
        <v>0</v>
      </c>
      <c r="V107" s="169">
        <v>0</v>
      </c>
      <c r="W107" s="169">
        <v>0</v>
      </c>
      <c r="X107" s="169">
        <v>0</v>
      </c>
      <c r="Y107" s="169">
        <v>0</v>
      </c>
      <c r="Z107" s="169">
        <v>0</v>
      </c>
      <c r="AA107" s="169">
        <v>0</v>
      </c>
      <c r="AB107" s="169">
        <v>0</v>
      </c>
      <c r="AC107" s="169">
        <v>0</v>
      </c>
      <c r="AD107" s="170">
        <v>0</v>
      </c>
      <c r="AE107" s="170">
        <v>0</v>
      </c>
      <c r="AF107" s="170">
        <v>0</v>
      </c>
    </row>
    <row r="108" spans="2:32" x14ac:dyDescent="0.3">
      <c r="B108" s="1" t="s">
        <v>62</v>
      </c>
      <c r="C108" s="1" t="s">
        <v>63</v>
      </c>
      <c r="D108" s="1" t="s">
        <v>53</v>
      </c>
      <c r="E108" s="1" t="s">
        <v>28</v>
      </c>
      <c r="F108" s="5" t="str">
        <f t="shared" si="1"/>
        <v>Solar - Regional - &gt;$5 bn</v>
      </c>
      <c r="G108" s="168">
        <v>0</v>
      </c>
      <c r="H108" s="168">
        <v>0</v>
      </c>
      <c r="I108" s="168">
        <v>0</v>
      </c>
      <c r="J108" s="168">
        <v>0</v>
      </c>
      <c r="K108" s="168">
        <v>0</v>
      </c>
      <c r="L108" s="168">
        <v>0</v>
      </c>
      <c r="M108" s="168">
        <v>0</v>
      </c>
      <c r="N108" s="168">
        <v>0</v>
      </c>
      <c r="O108" s="168">
        <v>0</v>
      </c>
      <c r="P108" s="168">
        <v>0</v>
      </c>
      <c r="Q108" s="168">
        <v>0</v>
      </c>
      <c r="R108" s="168">
        <v>0</v>
      </c>
      <c r="S108" s="168">
        <v>0</v>
      </c>
      <c r="T108" s="169">
        <v>0</v>
      </c>
      <c r="U108" s="169">
        <v>0</v>
      </c>
      <c r="V108" s="169">
        <v>0</v>
      </c>
      <c r="W108" s="169">
        <v>0</v>
      </c>
      <c r="X108" s="169">
        <v>0</v>
      </c>
      <c r="Y108" s="169">
        <v>0</v>
      </c>
      <c r="Z108" s="169">
        <v>0</v>
      </c>
      <c r="AA108" s="169">
        <v>0</v>
      </c>
      <c r="AB108" s="169">
        <v>0</v>
      </c>
      <c r="AC108" s="169">
        <v>0</v>
      </c>
      <c r="AD108" s="170">
        <v>0</v>
      </c>
      <c r="AE108" s="170">
        <v>0</v>
      </c>
      <c r="AF108" s="170">
        <v>0</v>
      </c>
    </row>
  </sheetData>
  <mergeCells count="1">
    <mergeCell ref="AD7:AF7"/>
  </mergeCells>
  <pageMargins left="0.7" right="0.7" top="0.75" bottom="0.75" header="0.3" footer="0.3"/>
  <pageSetup paperSize="9" orientation="portrait" r:id="rId1"/>
  <headerFooter>
    <oddFooter>&amp;L&amp;"Calibri"&amp;11&amp;K000000_x000D_&amp;1#&amp;"Calibri"&amp;11&amp;K000000OFFICIAL: Sensitive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84030-7A38-43C3-B285-D36B4ADD908C}">
  <sheetPr codeName="Sheet8">
    <tabColor theme="5" tint="0.59999389629810485"/>
  </sheetPr>
  <dimension ref="B1:AF108"/>
  <sheetViews>
    <sheetView workbookViewId="0">
      <selection activeCell="H19" sqref="H19"/>
    </sheetView>
  </sheetViews>
  <sheetFormatPr defaultColWidth="8.796875" defaultRowHeight="15.75" x14ac:dyDescent="0.3"/>
  <cols>
    <col min="1" max="1" width="2.5" style="1" customWidth="1"/>
    <col min="2" max="2" width="13.59765625" style="1" customWidth="1"/>
    <col min="3" max="3" width="10.296875" style="1" customWidth="1"/>
    <col min="4" max="4" width="11.296875" style="1" customWidth="1"/>
    <col min="5" max="5" width="19.296875" style="1" customWidth="1"/>
    <col min="6" max="6" width="34" style="1" customWidth="1"/>
    <col min="7" max="29" width="10.59765625" style="1" customWidth="1"/>
    <col min="30" max="30" width="15.5" style="1" bestFit="1" customWidth="1"/>
    <col min="31" max="31" width="15.59765625" style="1" bestFit="1" customWidth="1"/>
    <col min="32" max="32" width="16.5" style="1" bestFit="1" customWidth="1"/>
    <col min="33" max="16384" width="8.796875" style="1"/>
  </cols>
  <sheetData>
    <row r="1" spans="2:32" x14ac:dyDescent="0.3">
      <c r="B1" s="4"/>
    </row>
    <row r="3" spans="2:32" x14ac:dyDescent="0.3">
      <c r="B3" s="3"/>
    </row>
    <row r="4" spans="2:32" s="7" customFormat="1" ht="20.25" x14ac:dyDescent="0.4">
      <c r="B4" s="8" t="s">
        <v>125</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2:32" x14ac:dyDescent="0.3">
      <c r="B5" s="2" t="s">
        <v>97</v>
      </c>
    </row>
    <row r="6" spans="2:32" x14ac:dyDescent="0.3">
      <c r="B6" s="2" t="s">
        <v>31</v>
      </c>
    </row>
    <row r="7" spans="2:32" s="7" customFormat="1" x14ac:dyDescent="0.3">
      <c r="B7" s="12"/>
      <c r="AD7" s="173" t="s">
        <v>64</v>
      </c>
      <c r="AE7" s="173"/>
      <c r="AF7" s="173"/>
    </row>
    <row r="8" spans="2:32" s="7" customFormat="1" ht="17.25" x14ac:dyDescent="0.35">
      <c r="B8" s="9" t="s">
        <v>32</v>
      </c>
      <c r="C8" s="9" t="s">
        <v>33</v>
      </c>
      <c r="D8" s="9" t="s">
        <v>21</v>
      </c>
      <c r="E8" s="9" t="s">
        <v>34</v>
      </c>
      <c r="F8" s="9" t="s">
        <v>35</v>
      </c>
      <c r="G8" s="9" t="s">
        <v>36</v>
      </c>
      <c r="H8" s="9" t="s">
        <v>37</v>
      </c>
      <c r="I8" s="9" t="s">
        <v>38</v>
      </c>
      <c r="J8" s="9" t="s">
        <v>39</v>
      </c>
      <c r="K8" s="9" t="s">
        <v>40</v>
      </c>
      <c r="L8" s="9" t="s">
        <v>41</v>
      </c>
      <c r="M8" s="9" t="s">
        <v>42</v>
      </c>
      <c r="N8" s="9" t="s">
        <v>43</v>
      </c>
      <c r="O8" s="9" t="s">
        <v>44</v>
      </c>
      <c r="P8" s="9" t="s">
        <v>45</v>
      </c>
      <c r="Q8" s="9" t="s">
        <v>46</v>
      </c>
      <c r="R8" s="9" t="s">
        <v>47</v>
      </c>
      <c r="S8" s="9" t="s">
        <v>48</v>
      </c>
      <c r="T8" s="9" t="s">
        <v>5</v>
      </c>
      <c r="U8" s="9" t="s">
        <v>6</v>
      </c>
      <c r="V8" s="9" t="s">
        <v>7</v>
      </c>
      <c r="W8" s="9" t="s">
        <v>8</v>
      </c>
      <c r="X8" s="9" t="s">
        <v>9</v>
      </c>
      <c r="Y8" s="9" t="s">
        <v>10</v>
      </c>
      <c r="Z8" s="9" t="s">
        <v>11</v>
      </c>
      <c r="AA8" s="9" t="s">
        <v>12</v>
      </c>
      <c r="AB8" s="9" t="s">
        <v>13</v>
      </c>
      <c r="AC8" s="9" t="s">
        <v>14</v>
      </c>
      <c r="AD8" s="9" t="s">
        <v>139</v>
      </c>
      <c r="AE8" s="10" t="s">
        <v>140</v>
      </c>
      <c r="AF8" s="10" t="s">
        <v>141</v>
      </c>
    </row>
    <row r="9" spans="2:32" x14ac:dyDescent="0.3">
      <c r="B9" s="1" t="s">
        <v>49</v>
      </c>
      <c r="C9" s="1" t="s">
        <v>20</v>
      </c>
      <c r="D9" s="1" t="s">
        <v>22</v>
      </c>
      <c r="E9" s="1" t="s">
        <v>50</v>
      </c>
      <c r="F9" s="5" t="str">
        <f>_xlfn.CONCAT(C9, " - ", D9, " - ",E9)</f>
        <v>Road - Metro - &lt;$250 mil</v>
      </c>
      <c r="G9" s="168">
        <v>4.8986790424381699E-2</v>
      </c>
      <c r="H9" s="168">
        <v>4.4023502914226756E-2</v>
      </c>
      <c r="I9" s="168">
        <v>1.8877539344674024E-2</v>
      </c>
      <c r="J9" s="168">
        <v>2.650000443439E-2</v>
      </c>
      <c r="K9" s="168">
        <v>2.495396891890125E-2</v>
      </c>
      <c r="L9" s="168">
        <v>1.6634956076004171E-2</v>
      </c>
      <c r="M9" s="168">
        <v>3.4217724553147859E-2</v>
      </c>
      <c r="N9" s="168">
        <v>4.0868547663137335E-2</v>
      </c>
      <c r="O9" s="168">
        <v>4.6487372592186001E-2</v>
      </c>
      <c r="P9" s="168">
        <v>1.5250904005451441E-2</v>
      </c>
      <c r="Q9" s="168">
        <v>1.5086126524654235E-2</v>
      </c>
      <c r="R9" s="168">
        <v>9.4203272716303424E-2</v>
      </c>
      <c r="S9" s="168">
        <v>5.2658767922349921E-2</v>
      </c>
      <c r="T9" s="169">
        <v>3.3320541994267289E-2</v>
      </c>
      <c r="U9" s="169">
        <v>5.3972352833247687E-2</v>
      </c>
      <c r="V9" s="169">
        <v>3.996334079004369E-2</v>
      </c>
      <c r="W9" s="169">
        <v>3.6138051754426991E-2</v>
      </c>
      <c r="X9" s="169">
        <v>3.4103496255961409E-2</v>
      </c>
      <c r="Y9" s="169">
        <v>3.2892759772453234E-2</v>
      </c>
      <c r="Z9" s="169">
        <v>3.1983656697002587E-2</v>
      </c>
      <c r="AA9" s="169">
        <v>3.1236146639794321E-2</v>
      </c>
      <c r="AB9" s="169">
        <v>3.0593843997200738E-2</v>
      </c>
      <c r="AC9" s="169">
        <v>3.0027896740003168E-2</v>
      </c>
      <c r="AD9" s="170">
        <v>3.9471983467287419E-2</v>
      </c>
      <c r="AE9" s="170">
        <v>3.1346364963352746E-2</v>
      </c>
      <c r="AF9" s="170">
        <v>3.5401203220390975E-2</v>
      </c>
    </row>
    <row r="10" spans="2:32" x14ac:dyDescent="0.3">
      <c r="B10" s="1" t="s">
        <v>49</v>
      </c>
      <c r="C10" s="1" t="s">
        <v>20</v>
      </c>
      <c r="D10" s="1" t="s">
        <v>22</v>
      </c>
      <c r="E10" s="1" t="s">
        <v>51</v>
      </c>
      <c r="F10" s="5" t="str">
        <f t="shared" ref="F10:F81" si="0">_xlfn.CONCAT(C10, " - ", D10, " - ",E10)</f>
        <v>Road - Metro - $250 mil-$500 mil</v>
      </c>
      <c r="G10" s="168">
        <v>4.8986790424381699E-2</v>
      </c>
      <c r="H10" s="168">
        <v>4.4023502914226756E-2</v>
      </c>
      <c r="I10" s="168">
        <v>1.8877539344674024E-2</v>
      </c>
      <c r="J10" s="168">
        <v>2.650000443439E-2</v>
      </c>
      <c r="K10" s="168">
        <v>2.495396891890125E-2</v>
      </c>
      <c r="L10" s="168">
        <v>1.6634956076004171E-2</v>
      </c>
      <c r="M10" s="168">
        <v>3.4217724553147859E-2</v>
      </c>
      <c r="N10" s="168">
        <v>4.0868547663137335E-2</v>
      </c>
      <c r="O10" s="168">
        <v>4.6487372592186001E-2</v>
      </c>
      <c r="P10" s="168">
        <v>1.5250904005451441E-2</v>
      </c>
      <c r="Q10" s="168">
        <v>1.5086126524654235E-2</v>
      </c>
      <c r="R10" s="168">
        <v>9.4203272716303424E-2</v>
      </c>
      <c r="S10" s="168">
        <v>5.2658767922349921E-2</v>
      </c>
      <c r="T10" s="169">
        <v>3.3320541994267289E-2</v>
      </c>
      <c r="U10" s="169">
        <v>5.3972352833247687E-2</v>
      </c>
      <c r="V10" s="169">
        <v>3.996334079004369E-2</v>
      </c>
      <c r="W10" s="169">
        <v>3.6138051754426991E-2</v>
      </c>
      <c r="X10" s="169">
        <v>3.4103496255961409E-2</v>
      </c>
      <c r="Y10" s="169">
        <v>3.2892759772453234E-2</v>
      </c>
      <c r="Z10" s="169">
        <v>3.1983656697002587E-2</v>
      </c>
      <c r="AA10" s="169">
        <v>3.1236146639794321E-2</v>
      </c>
      <c r="AB10" s="169">
        <v>3.0593843997200738E-2</v>
      </c>
      <c r="AC10" s="169">
        <v>3.0027896740003168E-2</v>
      </c>
      <c r="AD10" s="170">
        <v>3.9471983467287419E-2</v>
      </c>
      <c r="AE10" s="170">
        <v>3.1346364963352746E-2</v>
      </c>
      <c r="AF10" s="170">
        <v>3.5401203220390975E-2</v>
      </c>
    </row>
    <row r="11" spans="2:32" x14ac:dyDescent="0.3">
      <c r="B11" s="1" t="s">
        <v>49</v>
      </c>
      <c r="C11" s="1" t="s">
        <v>20</v>
      </c>
      <c r="D11" s="1" t="s">
        <v>22</v>
      </c>
      <c r="E11" s="1" t="s">
        <v>23</v>
      </c>
      <c r="F11" s="5" t="str">
        <f t="shared" si="0"/>
        <v>Road - Metro - $500 mil-$1 bn</v>
      </c>
      <c r="G11" s="168">
        <v>4.8986790424381699E-2</v>
      </c>
      <c r="H11" s="168">
        <v>4.4023502914226756E-2</v>
      </c>
      <c r="I11" s="168">
        <v>1.8877539344674024E-2</v>
      </c>
      <c r="J11" s="168">
        <v>2.650000443439E-2</v>
      </c>
      <c r="K11" s="168">
        <v>2.495396891890125E-2</v>
      </c>
      <c r="L11" s="168">
        <v>1.6634956076004171E-2</v>
      </c>
      <c r="M11" s="168">
        <v>3.4217724553147859E-2</v>
      </c>
      <c r="N11" s="168">
        <v>4.0868547663137335E-2</v>
      </c>
      <c r="O11" s="168">
        <v>4.6487372592186001E-2</v>
      </c>
      <c r="P11" s="168">
        <v>1.5250904005451441E-2</v>
      </c>
      <c r="Q11" s="168">
        <v>1.5086126524654235E-2</v>
      </c>
      <c r="R11" s="168">
        <v>9.4203272716303424E-2</v>
      </c>
      <c r="S11" s="168">
        <v>5.2658767922349921E-2</v>
      </c>
      <c r="T11" s="169">
        <v>3.3320541994267289E-2</v>
      </c>
      <c r="U11" s="169">
        <v>5.3972352833247687E-2</v>
      </c>
      <c r="V11" s="169">
        <v>3.996334079004369E-2</v>
      </c>
      <c r="W11" s="169">
        <v>3.6138051754426991E-2</v>
      </c>
      <c r="X11" s="169">
        <v>3.4103496255961409E-2</v>
      </c>
      <c r="Y11" s="169">
        <v>3.2892759772453234E-2</v>
      </c>
      <c r="Z11" s="169">
        <v>3.1983656697002587E-2</v>
      </c>
      <c r="AA11" s="169">
        <v>3.1236146639794321E-2</v>
      </c>
      <c r="AB11" s="169">
        <v>3.0593843997200738E-2</v>
      </c>
      <c r="AC11" s="169">
        <v>3.0027896740003168E-2</v>
      </c>
      <c r="AD11" s="170">
        <v>3.9471983467287419E-2</v>
      </c>
      <c r="AE11" s="170">
        <v>3.1346364963352746E-2</v>
      </c>
      <c r="AF11" s="170">
        <v>3.5401203220390975E-2</v>
      </c>
    </row>
    <row r="12" spans="2:32" x14ac:dyDescent="0.3">
      <c r="B12" s="1" t="s">
        <v>49</v>
      </c>
      <c r="C12" s="1" t="s">
        <v>20</v>
      </c>
      <c r="D12" s="1" t="s">
        <v>22</v>
      </c>
      <c r="E12" s="1" t="s">
        <v>52</v>
      </c>
      <c r="F12" s="5" t="str">
        <f t="shared" si="0"/>
        <v>Road - Metro - $1 bn-$5 bn</v>
      </c>
      <c r="G12" s="168">
        <v>4.8986790424381699E-2</v>
      </c>
      <c r="H12" s="168">
        <v>4.4023502914226756E-2</v>
      </c>
      <c r="I12" s="168">
        <v>1.8877539344674024E-2</v>
      </c>
      <c r="J12" s="168">
        <v>2.650000443439E-2</v>
      </c>
      <c r="K12" s="168">
        <v>2.495396891890125E-2</v>
      </c>
      <c r="L12" s="168">
        <v>1.6634956076004171E-2</v>
      </c>
      <c r="M12" s="168">
        <v>3.4217724553147859E-2</v>
      </c>
      <c r="N12" s="168">
        <v>4.0868547663137335E-2</v>
      </c>
      <c r="O12" s="168">
        <v>4.6487372592186001E-2</v>
      </c>
      <c r="P12" s="168">
        <v>1.5250904005451441E-2</v>
      </c>
      <c r="Q12" s="168">
        <v>1.5086126524654235E-2</v>
      </c>
      <c r="R12" s="168">
        <v>9.4203272716303424E-2</v>
      </c>
      <c r="S12" s="168">
        <v>5.2658767922349921E-2</v>
      </c>
      <c r="T12" s="169">
        <v>3.3320541994267289E-2</v>
      </c>
      <c r="U12" s="169">
        <v>5.3972352833247687E-2</v>
      </c>
      <c r="V12" s="169">
        <v>3.996334079004369E-2</v>
      </c>
      <c r="W12" s="169">
        <v>3.6138051754426991E-2</v>
      </c>
      <c r="X12" s="169">
        <v>3.4103496255961409E-2</v>
      </c>
      <c r="Y12" s="169">
        <v>3.2892759772453234E-2</v>
      </c>
      <c r="Z12" s="169">
        <v>3.1983656697002587E-2</v>
      </c>
      <c r="AA12" s="169">
        <v>3.1236146639794321E-2</v>
      </c>
      <c r="AB12" s="169">
        <v>3.0593843997200738E-2</v>
      </c>
      <c r="AC12" s="169">
        <v>3.0027896740003168E-2</v>
      </c>
      <c r="AD12" s="170">
        <v>3.9471983467287419E-2</v>
      </c>
      <c r="AE12" s="170">
        <v>3.1346364963352746E-2</v>
      </c>
      <c r="AF12" s="170">
        <v>3.5401203220390975E-2</v>
      </c>
    </row>
    <row r="13" spans="2:32" x14ac:dyDescent="0.3">
      <c r="B13" s="1" t="s">
        <v>49</v>
      </c>
      <c r="C13" s="1" t="s">
        <v>20</v>
      </c>
      <c r="D13" s="1" t="s">
        <v>22</v>
      </c>
      <c r="E13" s="1" t="s">
        <v>28</v>
      </c>
      <c r="F13" s="5" t="str">
        <f t="shared" si="0"/>
        <v>Road - Metro - &gt;$5 bn</v>
      </c>
      <c r="G13" s="168">
        <v>4.8986790424381699E-2</v>
      </c>
      <c r="H13" s="168">
        <v>4.4023502914226756E-2</v>
      </c>
      <c r="I13" s="168">
        <v>1.8877539344674024E-2</v>
      </c>
      <c r="J13" s="168">
        <v>2.650000443439E-2</v>
      </c>
      <c r="K13" s="168">
        <v>2.495396891890125E-2</v>
      </c>
      <c r="L13" s="168">
        <v>1.6634956076004171E-2</v>
      </c>
      <c r="M13" s="168">
        <v>3.4217724553147859E-2</v>
      </c>
      <c r="N13" s="168">
        <v>4.0868547663137335E-2</v>
      </c>
      <c r="O13" s="168">
        <v>4.6487372592186001E-2</v>
      </c>
      <c r="P13" s="168">
        <v>1.5250904005451441E-2</v>
      </c>
      <c r="Q13" s="168">
        <v>1.5086126524654235E-2</v>
      </c>
      <c r="R13" s="168">
        <v>9.4203272716303424E-2</v>
      </c>
      <c r="S13" s="168">
        <v>5.2658767922349921E-2</v>
      </c>
      <c r="T13" s="169">
        <v>3.3320541994267289E-2</v>
      </c>
      <c r="U13" s="169">
        <v>5.3972352833247687E-2</v>
      </c>
      <c r="V13" s="169">
        <v>3.996334079004369E-2</v>
      </c>
      <c r="W13" s="169">
        <v>3.6138051754426991E-2</v>
      </c>
      <c r="X13" s="169">
        <v>3.4103496255961409E-2</v>
      </c>
      <c r="Y13" s="169">
        <v>3.2892759772453234E-2</v>
      </c>
      <c r="Z13" s="169">
        <v>3.1983656697002587E-2</v>
      </c>
      <c r="AA13" s="169">
        <v>3.1236146639794321E-2</v>
      </c>
      <c r="AB13" s="169">
        <v>3.0593843997200738E-2</v>
      </c>
      <c r="AC13" s="169">
        <v>3.0027896740003168E-2</v>
      </c>
      <c r="AD13" s="170">
        <v>3.9471983467287419E-2</v>
      </c>
      <c r="AE13" s="170">
        <v>3.1346364963352746E-2</v>
      </c>
      <c r="AF13" s="170">
        <v>3.5401203220390975E-2</v>
      </c>
    </row>
    <row r="14" spans="2:32" x14ac:dyDescent="0.3">
      <c r="B14" s="1" t="s">
        <v>49</v>
      </c>
      <c r="C14" s="1" t="s">
        <v>20</v>
      </c>
      <c r="D14" s="1" t="s">
        <v>53</v>
      </c>
      <c r="E14" s="1" t="s">
        <v>50</v>
      </c>
      <c r="F14" s="5" t="str">
        <f t="shared" si="0"/>
        <v>Road - Regional - &lt;$250 mil</v>
      </c>
      <c r="G14" s="168">
        <v>5.0408346171176982E-2</v>
      </c>
      <c r="H14" s="168">
        <v>4.3240064086810942E-2</v>
      </c>
      <c r="I14" s="168">
        <v>2.1495918709260129E-2</v>
      </c>
      <c r="J14" s="168">
        <v>2.6715715638700861E-2</v>
      </c>
      <c r="K14" s="168">
        <v>2.6719221593780651E-2</v>
      </c>
      <c r="L14" s="168">
        <v>1.947558476397477E-2</v>
      </c>
      <c r="M14" s="168">
        <v>3.4522376960446716E-2</v>
      </c>
      <c r="N14" s="168">
        <v>3.9965818345855171E-2</v>
      </c>
      <c r="O14" s="168">
        <v>4.9249953547637622E-2</v>
      </c>
      <c r="P14" s="168">
        <v>1.690913757772998E-2</v>
      </c>
      <c r="Q14" s="168">
        <v>1.8769040352773554E-2</v>
      </c>
      <c r="R14" s="168">
        <v>9.3506315368340212E-2</v>
      </c>
      <c r="S14" s="168">
        <v>5.0364577932753139E-2</v>
      </c>
      <c r="T14" s="169">
        <v>3.3203823037087916E-2</v>
      </c>
      <c r="U14" s="169">
        <v>5.3294825560778566E-2</v>
      </c>
      <c r="V14" s="169">
        <v>4.0969076626085336E-2</v>
      </c>
      <c r="W14" s="169">
        <v>3.6905154477836558E-2</v>
      </c>
      <c r="X14" s="169">
        <v>3.4762364683781272E-2</v>
      </c>
      <c r="Y14" s="169">
        <v>3.3538793422466559E-2</v>
      </c>
      <c r="Z14" s="169">
        <v>3.2631984739974342E-2</v>
      </c>
      <c r="AA14" s="169">
        <v>3.1889213274391225E-2</v>
      </c>
      <c r="AB14" s="169">
        <v>3.1251529527803038E-2</v>
      </c>
      <c r="AC14" s="169">
        <v>3.0689633939927699E-2</v>
      </c>
      <c r="AD14" s="170">
        <v>3.980209545069413E-2</v>
      </c>
      <c r="AE14" s="170">
        <v>3.1999741054253406E-2</v>
      </c>
      <c r="AF14" s="170">
        <v>3.5893572358080883E-2</v>
      </c>
    </row>
    <row r="15" spans="2:32" x14ac:dyDescent="0.3">
      <c r="B15" s="1" t="s">
        <v>49</v>
      </c>
      <c r="C15" s="1" t="s">
        <v>20</v>
      </c>
      <c r="D15" s="1" t="s">
        <v>53</v>
      </c>
      <c r="E15" s="1" t="s">
        <v>51</v>
      </c>
      <c r="F15" s="5" t="str">
        <f t="shared" si="0"/>
        <v>Road - Regional - $250 mil-$500 mil</v>
      </c>
      <c r="G15" s="168">
        <v>5.0408346171176982E-2</v>
      </c>
      <c r="H15" s="168">
        <v>4.3240064086810942E-2</v>
      </c>
      <c r="I15" s="168">
        <v>2.1495918709260129E-2</v>
      </c>
      <c r="J15" s="168">
        <v>2.6715715638700861E-2</v>
      </c>
      <c r="K15" s="168">
        <v>2.6719221593780651E-2</v>
      </c>
      <c r="L15" s="168">
        <v>1.947558476397477E-2</v>
      </c>
      <c r="M15" s="168">
        <v>3.4522376960446716E-2</v>
      </c>
      <c r="N15" s="168">
        <v>3.9965818345855171E-2</v>
      </c>
      <c r="O15" s="168">
        <v>4.9249953547637622E-2</v>
      </c>
      <c r="P15" s="168">
        <v>1.690913757772998E-2</v>
      </c>
      <c r="Q15" s="168">
        <v>1.8769040352773554E-2</v>
      </c>
      <c r="R15" s="168">
        <v>9.3506315368340212E-2</v>
      </c>
      <c r="S15" s="168">
        <v>5.0364577932753139E-2</v>
      </c>
      <c r="T15" s="169">
        <v>3.3203823037087916E-2</v>
      </c>
      <c r="U15" s="169">
        <v>5.3294825560778566E-2</v>
      </c>
      <c r="V15" s="169">
        <v>4.0969076626085336E-2</v>
      </c>
      <c r="W15" s="169">
        <v>3.6905154477836558E-2</v>
      </c>
      <c r="X15" s="169">
        <v>3.4762364683781272E-2</v>
      </c>
      <c r="Y15" s="169">
        <v>3.3538793422466559E-2</v>
      </c>
      <c r="Z15" s="169">
        <v>3.2631984739974342E-2</v>
      </c>
      <c r="AA15" s="169">
        <v>3.1889213274391225E-2</v>
      </c>
      <c r="AB15" s="169">
        <v>3.1251529527803038E-2</v>
      </c>
      <c r="AC15" s="169">
        <v>3.0689633939927699E-2</v>
      </c>
      <c r="AD15" s="170">
        <v>3.980209545069413E-2</v>
      </c>
      <c r="AE15" s="170">
        <v>3.1999741054253406E-2</v>
      </c>
      <c r="AF15" s="170">
        <v>3.5893572358080883E-2</v>
      </c>
    </row>
    <row r="16" spans="2:32" x14ac:dyDescent="0.3">
      <c r="B16" s="1" t="s">
        <v>49</v>
      </c>
      <c r="C16" s="1" t="s">
        <v>20</v>
      </c>
      <c r="D16" s="1" t="s">
        <v>53</v>
      </c>
      <c r="E16" s="1" t="s">
        <v>23</v>
      </c>
      <c r="F16" s="5" t="str">
        <f t="shared" si="0"/>
        <v>Road - Regional - $500 mil-$1 bn</v>
      </c>
      <c r="G16" s="168">
        <v>5.0408346171176982E-2</v>
      </c>
      <c r="H16" s="168">
        <v>4.3240064086810942E-2</v>
      </c>
      <c r="I16" s="168">
        <v>2.1495918709260129E-2</v>
      </c>
      <c r="J16" s="168">
        <v>2.6715715638700861E-2</v>
      </c>
      <c r="K16" s="168">
        <v>2.6719221593780651E-2</v>
      </c>
      <c r="L16" s="168">
        <v>1.947558476397477E-2</v>
      </c>
      <c r="M16" s="168">
        <v>3.4522376960446716E-2</v>
      </c>
      <c r="N16" s="168">
        <v>3.9965818345855171E-2</v>
      </c>
      <c r="O16" s="168">
        <v>4.9249953547637622E-2</v>
      </c>
      <c r="P16" s="168">
        <v>1.690913757772998E-2</v>
      </c>
      <c r="Q16" s="168">
        <v>1.8769040352773554E-2</v>
      </c>
      <c r="R16" s="168">
        <v>9.3506315368340212E-2</v>
      </c>
      <c r="S16" s="168">
        <v>5.0364577932753139E-2</v>
      </c>
      <c r="T16" s="169">
        <v>3.3203823037087916E-2</v>
      </c>
      <c r="U16" s="169">
        <v>5.3294825560778566E-2</v>
      </c>
      <c r="V16" s="169">
        <v>4.0969076626085336E-2</v>
      </c>
      <c r="W16" s="169">
        <v>3.6905154477836558E-2</v>
      </c>
      <c r="X16" s="169">
        <v>3.4762364683781272E-2</v>
      </c>
      <c r="Y16" s="169">
        <v>3.3538793422466559E-2</v>
      </c>
      <c r="Z16" s="169">
        <v>3.2631984739974342E-2</v>
      </c>
      <c r="AA16" s="169">
        <v>3.1889213274391225E-2</v>
      </c>
      <c r="AB16" s="169">
        <v>3.1251529527803038E-2</v>
      </c>
      <c r="AC16" s="169">
        <v>3.0689633939927699E-2</v>
      </c>
      <c r="AD16" s="170">
        <v>3.980209545069413E-2</v>
      </c>
      <c r="AE16" s="170">
        <v>3.1999741054253406E-2</v>
      </c>
      <c r="AF16" s="170">
        <v>3.5893572358080883E-2</v>
      </c>
    </row>
    <row r="17" spans="2:32" x14ac:dyDescent="0.3">
      <c r="B17" s="1" t="s">
        <v>49</v>
      </c>
      <c r="C17" s="1" t="s">
        <v>20</v>
      </c>
      <c r="D17" s="1" t="s">
        <v>53</v>
      </c>
      <c r="E17" s="1" t="s">
        <v>52</v>
      </c>
      <c r="F17" s="5" t="str">
        <f t="shared" si="0"/>
        <v>Road - Regional - $1 bn-$5 bn</v>
      </c>
      <c r="G17" s="168">
        <v>5.0408346171176982E-2</v>
      </c>
      <c r="H17" s="168">
        <v>4.3240064086810942E-2</v>
      </c>
      <c r="I17" s="168">
        <v>2.1495918709260129E-2</v>
      </c>
      <c r="J17" s="168">
        <v>2.6715715638700861E-2</v>
      </c>
      <c r="K17" s="168">
        <v>2.6719221593780651E-2</v>
      </c>
      <c r="L17" s="168">
        <v>1.947558476397477E-2</v>
      </c>
      <c r="M17" s="168">
        <v>3.4522376960446716E-2</v>
      </c>
      <c r="N17" s="168">
        <v>3.9965818345855171E-2</v>
      </c>
      <c r="O17" s="168">
        <v>4.9249953547637622E-2</v>
      </c>
      <c r="P17" s="168">
        <v>1.690913757772998E-2</v>
      </c>
      <c r="Q17" s="168">
        <v>1.8769040352773554E-2</v>
      </c>
      <c r="R17" s="168">
        <v>9.3506315368340212E-2</v>
      </c>
      <c r="S17" s="168">
        <v>5.0364577932753139E-2</v>
      </c>
      <c r="T17" s="169">
        <v>3.3203823037087916E-2</v>
      </c>
      <c r="U17" s="169">
        <v>5.3294825560778566E-2</v>
      </c>
      <c r="V17" s="169">
        <v>4.0969076626085336E-2</v>
      </c>
      <c r="W17" s="169">
        <v>3.6905154477836558E-2</v>
      </c>
      <c r="X17" s="169">
        <v>3.4762364683781272E-2</v>
      </c>
      <c r="Y17" s="169">
        <v>3.3538793422466559E-2</v>
      </c>
      <c r="Z17" s="169">
        <v>3.2631984739974342E-2</v>
      </c>
      <c r="AA17" s="169">
        <v>3.1889213274391225E-2</v>
      </c>
      <c r="AB17" s="169">
        <v>3.1251529527803038E-2</v>
      </c>
      <c r="AC17" s="169">
        <v>3.0689633939927699E-2</v>
      </c>
      <c r="AD17" s="170">
        <v>3.980209545069413E-2</v>
      </c>
      <c r="AE17" s="170">
        <v>3.1999741054253406E-2</v>
      </c>
      <c r="AF17" s="170">
        <v>3.5893572358080883E-2</v>
      </c>
    </row>
    <row r="18" spans="2:32" x14ac:dyDescent="0.3">
      <c r="B18" s="1" t="s">
        <v>49</v>
      </c>
      <c r="C18" s="1" t="s">
        <v>20</v>
      </c>
      <c r="D18" s="1" t="s">
        <v>53</v>
      </c>
      <c r="E18" s="1" t="s">
        <v>28</v>
      </c>
      <c r="F18" s="5" t="str">
        <f t="shared" si="0"/>
        <v>Road - Regional - &gt;$5 bn</v>
      </c>
      <c r="G18" s="168">
        <v>5.0408346171176982E-2</v>
      </c>
      <c r="H18" s="168">
        <v>4.3240064086810942E-2</v>
      </c>
      <c r="I18" s="168">
        <v>2.1495918709260129E-2</v>
      </c>
      <c r="J18" s="168">
        <v>2.6715715638700861E-2</v>
      </c>
      <c r="K18" s="168">
        <v>2.6719221593780651E-2</v>
      </c>
      <c r="L18" s="168">
        <v>1.947558476397477E-2</v>
      </c>
      <c r="M18" s="168">
        <v>3.4522376960446716E-2</v>
      </c>
      <c r="N18" s="168">
        <v>3.9965818345855171E-2</v>
      </c>
      <c r="O18" s="168">
        <v>4.9249953547637622E-2</v>
      </c>
      <c r="P18" s="168">
        <v>1.690913757772998E-2</v>
      </c>
      <c r="Q18" s="168">
        <v>1.8769040352773554E-2</v>
      </c>
      <c r="R18" s="168">
        <v>9.3506315368340212E-2</v>
      </c>
      <c r="S18" s="168">
        <v>5.0364577932753139E-2</v>
      </c>
      <c r="T18" s="169">
        <v>3.3203823037087916E-2</v>
      </c>
      <c r="U18" s="169">
        <v>5.3294825560778566E-2</v>
      </c>
      <c r="V18" s="169">
        <v>4.0969076626085336E-2</v>
      </c>
      <c r="W18" s="169">
        <v>3.6905154477836558E-2</v>
      </c>
      <c r="X18" s="169">
        <v>3.4762364683781272E-2</v>
      </c>
      <c r="Y18" s="169">
        <v>3.3538793422466559E-2</v>
      </c>
      <c r="Z18" s="169">
        <v>3.2631984739974342E-2</v>
      </c>
      <c r="AA18" s="169">
        <v>3.1889213274391225E-2</v>
      </c>
      <c r="AB18" s="169">
        <v>3.1251529527803038E-2</v>
      </c>
      <c r="AC18" s="169">
        <v>3.0689633939927699E-2</v>
      </c>
      <c r="AD18" s="170">
        <v>3.980209545069413E-2</v>
      </c>
      <c r="AE18" s="170">
        <v>3.1999741054253406E-2</v>
      </c>
      <c r="AF18" s="170">
        <v>3.5893572358080883E-2</v>
      </c>
    </row>
    <row r="19" spans="2:32" x14ac:dyDescent="0.3">
      <c r="B19" s="1" t="s">
        <v>49</v>
      </c>
      <c r="C19" s="1" t="s">
        <v>54</v>
      </c>
      <c r="D19" s="1" t="s">
        <v>22</v>
      </c>
      <c r="E19" s="1" t="s">
        <v>50</v>
      </c>
      <c r="F19" s="5" t="str">
        <f t="shared" si="0"/>
        <v>Bridge - Metro - &lt;$250 mil</v>
      </c>
      <c r="G19" s="168">
        <v>3.3406373384813344E-2</v>
      </c>
      <c r="H19" s="168">
        <v>3.0975960189947287E-2</v>
      </c>
      <c r="I19" s="168">
        <v>2.631368604163789E-2</v>
      </c>
      <c r="J19" s="168">
        <v>2.1360533843452354E-2</v>
      </c>
      <c r="K19" s="168">
        <v>4.0438830282569053E-2</v>
      </c>
      <c r="L19" s="168">
        <v>2.5407021549983179E-2</v>
      </c>
      <c r="M19" s="168">
        <v>3.3529000026985133E-2</v>
      </c>
      <c r="N19" s="168">
        <v>3.3326508595360488E-2</v>
      </c>
      <c r="O19" s="168">
        <v>3.9123258771401451E-2</v>
      </c>
      <c r="P19" s="168">
        <v>1.785235433003771E-2</v>
      </c>
      <c r="Q19" s="168">
        <v>1.8922926162433493E-2</v>
      </c>
      <c r="R19" s="168">
        <v>9.9924784950387549E-2</v>
      </c>
      <c r="S19" s="168">
        <v>5.9773465345041209E-2</v>
      </c>
      <c r="T19" s="169">
        <v>2.4999171153124809E-2</v>
      </c>
      <c r="U19" s="169">
        <v>4.9206271800492481E-2</v>
      </c>
      <c r="V19" s="169">
        <v>4.4190887022200163E-2</v>
      </c>
      <c r="W19" s="169">
        <v>3.8333212895858421E-2</v>
      </c>
      <c r="X19" s="169">
        <v>3.5125106521921912E-2</v>
      </c>
      <c r="Y19" s="169">
        <v>3.3550965160590751E-2</v>
      </c>
      <c r="Z19" s="169">
        <v>3.2474245788543819E-2</v>
      </c>
      <c r="AA19" s="169">
        <v>3.1628551456479935E-2</v>
      </c>
      <c r="AB19" s="169">
        <v>3.0919811410581404E-2</v>
      </c>
      <c r="AC19" s="169">
        <v>3.0305070718102109E-2</v>
      </c>
      <c r="AD19" s="170">
        <v>3.8338066145171323E-2</v>
      </c>
      <c r="AE19" s="170">
        <v>3.1775093583364944E-2</v>
      </c>
      <c r="AF19" s="170">
        <v>3.5051378129657973E-2</v>
      </c>
    </row>
    <row r="20" spans="2:32" x14ac:dyDescent="0.3">
      <c r="B20" s="1" t="s">
        <v>49</v>
      </c>
      <c r="C20" s="1" t="s">
        <v>54</v>
      </c>
      <c r="D20" s="1" t="s">
        <v>22</v>
      </c>
      <c r="E20" s="1" t="s">
        <v>51</v>
      </c>
      <c r="F20" s="5" t="str">
        <f t="shared" si="0"/>
        <v>Bridge - Metro - $250 mil-$500 mil</v>
      </c>
      <c r="G20" s="168">
        <v>3.3406373384813344E-2</v>
      </c>
      <c r="H20" s="168">
        <v>3.0975960189947287E-2</v>
      </c>
      <c r="I20" s="168">
        <v>2.631368604163789E-2</v>
      </c>
      <c r="J20" s="168">
        <v>2.1360533843452354E-2</v>
      </c>
      <c r="K20" s="168">
        <v>4.0438830282569053E-2</v>
      </c>
      <c r="L20" s="168">
        <v>2.5407021549983179E-2</v>
      </c>
      <c r="M20" s="168">
        <v>3.3529000026985133E-2</v>
      </c>
      <c r="N20" s="168">
        <v>3.3326508595360488E-2</v>
      </c>
      <c r="O20" s="168">
        <v>3.9123258771401451E-2</v>
      </c>
      <c r="P20" s="168">
        <v>1.785235433003771E-2</v>
      </c>
      <c r="Q20" s="168">
        <v>1.8922926162433493E-2</v>
      </c>
      <c r="R20" s="168">
        <v>9.9924784950387549E-2</v>
      </c>
      <c r="S20" s="168">
        <v>5.9773465345041209E-2</v>
      </c>
      <c r="T20" s="169">
        <v>2.4999171153124809E-2</v>
      </c>
      <c r="U20" s="169">
        <v>4.9206271800492481E-2</v>
      </c>
      <c r="V20" s="169">
        <v>4.4190887022200163E-2</v>
      </c>
      <c r="W20" s="169">
        <v>3.8333212895858421E-2</v>
      </c>
      <c r="X20" s="169">
        <v>3.5125106521921912E-2</v>
      </c>
      <c r="Y20" s="169">
        <v>3.3550965160590751E-2</v>
      </c>
      <c r="Z20" s="169">
        <v>3.2474245788543819E-2</v>
      </c>
      <c r="AA20" s="169">
        <v>3.1628551456479935E-2</v>
      </c>
      <c r="AB20" s="169">
        <v>3.0919811410581404E-2</v>
      </c>
      <c r="AC20" s="169">
        <v>3.0305070718102109E-2</v>
      </c>
      <c r="AD20" s="170">
        <v>3.8338066145171323E-2</v>
      </c>
      <c r="AE20" s="170">
        <v>3.1775093583364944E-2</v>
      </c>
      <c r="AF20" s="170">
        <v>3.5051378129657973E-2</v>
      </c>
    </row>
    <row r="21" spans="2:32" x14ac:dyDescent="0.3">
      <c r="B21" s="1" t="s">
        <v>49</v>
      </c>
      <c r="C21" s="1" t="s">
        <v>54</v>
      </c>
      <c r="D21" s="1" t="s">
        <v>22</v>
      </c>
      <c r="E21" s="1" t="s">
        <v>23</v>
      </c>
      <c r="F21" s="5" t="str">
        <f t="shared" si="0"/>
        <v>Bridge - Metro - $500 mil-$1 bn</v>
      </c>
      <c r="G21" s="168">
        <v>3.3406373384813344E-2</v>
      </c>
      <c r="H21" s="168">
        <v>3.0975960189947287E-2</v>
      </c>
      <c r="I21" s="168">
        <v>2.631368604163789E-2</v>
      </c>
      <c r="J21" s="168">
        <v>2.1360533843452354E-2</v>
      </c>
      <c r="K21" s="168">
        <v>4.0438830282569053E-2</v>
      </c>
      <c r="L21" s="168">
        <v>2.5407021549983179E-2</v>
      </c>
      <c r="M21" s="168">
        <v>3.3529000026985133E-2</v>
      </c>
      <c r="N21" s="168">
        <v>3.3326508595360488E-2</v>
      </c>
      <c r="O21" s="168">
        <v>3.9123258771401451E-2</v>
      </c>
      <c r="P21" s="168">
        <v>1.785235433003771E-2</v>
      </c>
      <c r="Q21" s="168">
        <v>1.8922926162433493E-2</v>
      </c>
      <c r="R21" s="168">
        <v>9.9924784950387549E-2</v>
      </c>
      <c r="S21" s="168">
        <v>5.9773465345041209E-2</v>
      </c>
      <c r="T21" s="169">
        <v>2.4999171153124809E-2</v>
      </c>
      <c r="U21" s="169">
        <v>4.9206271800492481E-2</v>
      </c>
      <c r="V21" s="169">
        <v>4.4190887022200163E-2</v>
      </c>
      <c r="W21" s="169">
        <v>3.8333212895858421E-2</v>
      </c>
      <c r="X21" s="169">
        <v>3.5125106521921912E-2</v>
      </c>
      <c r="Y21" s="169">
        <v>3.3550965160590751E-2</v>
      </c>
      <c r="Z21" s="169">
        <v>3.2474245788543819E-2</v>
      </c>
      <c r="AA21" s="169">
        <v>3.1628551456479935E-2</v>
      </c>
      <c r="AB21" s="169">
        <v>3.0919811410581404E-2</v>
      </c>
      <c r="AC21" s="169">
        <v>3.0305070718102109E-2</v>
      </c>
      <c r="AD21" s="170">
        <v>3.8338066145171323E-2</v>
      </c>
      <c r="AE21" s="170">
        <v>3.1775093583364944E-2</v>
      </c>
      <c r="AF21" s="170">
        <v>3.5051378129657973E-2</v>
      </c>
    </row>
    <row r="22" spans="2:32" x14ac:dyDescent="0.3">
      <c r="B22" s="1" t="s">
        <v>49</v>
      </c>
      <c r="C22" s="1" t="s">
        <v>54</v>
      </c>
      <c r="D22" s="1" t="s">
        <v>22</v>
      </c>
      <c r="E22" s="1" t="s">
        <v>52</v>
      </c>
      <c r="F22" s="5" t="str">
        <f t="shared" si="0"/>
        <v>Bridge - Metro - $1 bn-$5 bn</v>
      </c>
      <c r="G22" s="168">
        <v>3.3406373384813344E-2</v>
      </c>
      <c r="H22" s="168">
        <v>3.0975960189947287E-2</v>
      </c>
      <c r="I22" s="168">
        <v>2.631368604163789E-2</v>
      </c>
      <c r="J22" s="168">
        <v>2.1360533843452354E-2</v>
      </c>
      <c r="K22" s="168">
        <v>4.0438830282569053E-2</v>
      </c>
      <c r="L22" s="168">
        <v>2.5407021549983179E-2</v>
      </c>
      <c r="M22" s="168">
        <v>3.3529000026985133E-2</v>
      </c>
      <c r="N22" s="168">
        <v>3.3326508595360488E-2</v>
      </c>
      <c r="O22" s="168">
        <v>3.9123258771401451E-2</v>
      </c>
      <c r="P22" s="168">
        <v>1.785235433003771E-2</v>
      </c>
      <c r="Q22" s="168">
        <v>1.8922926162433493E-2</v>
      </c>
      <c r="R22" s="168">
        <v>9.9924784950387549E-2</v>
      </c>
      <c r="S22" s="168">
        <v>5.9773465345041209E-2</v>
      </c>
      <c r="T22" s="169">
        <v>2.4999171153124809E-2</v>
      </c>
      <c r="U22" s="169">
        <v>4.9206271800492481E-2</v>
      </c>
      <c r="V22" s="169">
        <v>4.4190887022200163E-2</v>
      </c>
      <c r="W22" s="169">
        <v>3.8333212895858421E-2</v>
      </c>
      <c r="X22" s="169">
        <v>3.5125106521921912E-2</v>
      </c>
      <c r="Y22" s="169">
        <v>3.3550965160590751E-2</v>
      </c>
      <c r="Z22" s="169">
        <v>3.2474245788543819E-2</v>
      </c>
      <c r="AA22" s="169">
        <v>3.1628551456479935E-2</v>
      </c>
      <c r="AB22" s="169">
        <v>3.0919811410581404E-2</v>
      </c>
      <c r="AC22" s="169">
        <v>3.0305070718102109E-2</v>
      </c>
      <c r="AD22" s="170">
        <v>3.8338066145171323E-2</v>
      </c>
      <c r="AE22" s="170">
        <v>3.1775093583364944E-2</v>
      </c>
      <c r="AF22" s="170">
        <v>3.5051378129657973E-2</v>
      </c>
    </row>
    <row r="23" spans="2:32" x14ac:dyDescent="0.3">
      <c r="B23" s="1" t="s">
        <v>49</v>
      </c>
      <c r="C23" s="1" t="s">
        <v>54</v>
      </c>
      <c r="D23" s="1" t="s">
        <v>22</v>
      </c>
      <c r="E23" s="1" t="s">
        <v>28</v>
      </c>
      <c r="F23" s="5" t="str">
        <f t="shared" si="0"/>
        <v>Bridge - Metro - &gt;$5 bn</v>
      </c>
      <c r="G23" s="168">
        <v>3.3406373384813344E-2</v>
      </c>
      <c r="H23" s="168">
        <v>3.0975960189947287E-2</v>
      </c>
      <c r="I23" s="168">
        <v>2.631368604163789E-2</v>
      </c>
      <c r="J23" s="168">
        <v>2.1360533843452354E-2</v>
      </c>
      <c r="K23" s="168">
        <v>4.0438830282569053E-2</v>
      </c>
      <c r="L23" s="168">
        <v>2.5407021549983179E-2</v>
      </c>
      <c r="M23" s="168">
        <v>3.3529000026985133E-2</v>
      </c>
      <c r="N23" s="168">
        <v>3.3326508595360488E-2</v>
      </c>
      <c r="O23" s="168">
        <v>3.9123258771401451E-2</v>
      </c>
      <c r="P23" s="168">
        <v>1.785235433003771E-2</v>
      </c>
      <c r="Q23" s="168">
        <v>1.8922926162433493E-2</v>
      </c>
      <c r="R23" s="168">
        <v>9.9924784950387549E-2</v>
      </c>
      <c r="S23" s="168">
        <v>5.9773465345041209E-2</v>
      </c>
      <c r="T23" s="169">
        <v>2.4999171153124809E-2</v>
      </c>
      <c r="U23" s="169">
        <v>4.9206271800492481E-2</v>
      </c>
      <c r="V23" s="169">
        <v>4.4190887022200163E-2</v>
      </c>
      <c r="W23" s="169">
        <v>3.8333212895858421E-2</v>
      </c>
      <c r="X23" s="169">
        <v>3.5125106521921912E-2</v>
      </c>
      <c r="Y23" s="169">
        <v>3.3550965160590751E-2</v>
      </c>
      <c r="Z23" s="169">
        <v>3.2474245788543819E-2</v>
      </c>
      <c r="AA23" s="169">
        <v>3.1628551456479935E-2</v>
      </c>
      <c r="AB23" s="169">
        <v>3.0919811410581404E-2</v>
      </c>
      <c r="AC23" s="169">
        <v>3.0305070718102109E-2</v>
      </c>
      <c r="AD23" s="170">
        <v>3.8338066145171323E-2</v>
      </c>
      <c r="AE23" s="170">
        <v>3.1775093583364944E-2</v>
      </c>
      <c r="AF23" s="170">
        <v>3.5051378129657973E-2</v>
      </c>
    </row>
    <row r="24" spans="2:32" x14ac:dyDescent="0.3">
      <c r="B24" s="1" t="s">
        <v>49</v>
      </c>
      <c r="C24" s="1" t="s">
        <v>54</v>
      </c>
      <c r="D24" s="1" t="s">
        <v>53</v>
      </c>
      <c r="E24" s="1" t="s">
        <v>50</v>
      </c>
      <c r="F24" s="5" t="str">
        <f t="shared" si="0"/>
        <v>Bridge - Regional - &lt;$250 mil</v>
      </c>
      <c r="G24" s="168">
        <v>3.5659301435824166E-2</v>
      </c>
      <c r="H24" s="168">
        <v>3.1699185759928625E-2</v>
      </c>
      <c r="I24" s="168">
        <v>2.7199991470083475E-2</v>
      </c>
      <c r="J24" s="168">
        <v>2.1824454703415111E-2</v>
      </c>
      <c r="K24" s="168">
        <v>3.8856148327217135E-2</v>
      </c>
      <c r="L24" s="168">
        <v>2.5755636317244254E-2</v>
      </c>
      <c r="M24" s="168">
        <v>3.2871629151068692E-2</v>
      </c>
      <c r="N24" s="168">
        <v>3.345802779396459E-2</v>
      </c>
      <c r="O24" s="168">
        <v>3.9865205909980807E-2</v>
      </c>
      <c r="P24" s="168">
        <v>1.8010068429450337E-2</v>
      </c>
      <c r="Q24" s="168">
        <v>1.9677013558636863E-2</v>
      </c>
      <c r="R24" s="168">
        <v>9.5745349269936983E-2</v>
      </c>
      <c r="S24" s="168">
        <v>5.9116203879799066E-2</v>
      </c>
      <c r="T24" s="169">
        <v>2.7202557609631646E-2</v>
      </c>
      <c r="U24" s="169">
        <v>4.8930053015145247E-2</v>
      </c>
      <c r="V24" s="169">
        <v>4.3696640386612765E-2</v>
      </c>
      <c r="W24" s="169">
        <v>3.8291441120280614E-2</v>
      </c>
      <c r="X24" s="169">
        <v>3.5256568409788025E-2</v>
      </c>
      <c r="Y24" s="169">
        <v>3.3716712884767942E-2</v>
      </c>
      <c r="Z24" s="169">
        <v>3.265167201877546E-2</v>
      </c>
      <c r="AA24" s="169">
        <v>3.1812994137085E-2</v>
      </c>
      <c r="AB24" s="169">
        <v>3.111018418916715E-2</v>
      </c>
      <c r="AC24" s="169">
        <v>3.0500994870007282E-2</v>
      </c>
      <c r="AD24" s="170">
        <v>3.8649066161315471E-2</v>
      </c>
      <c r="AE24" s="170">
        <v>3.1957887989443101E-2</v>
      </c>
      <c r="AF24" s="170">
        <v>3.5298071416168808E-2</v>
      </c>
    </row>
    <row r="25" spans="2:32" x14ac:dyDescent="0.3">
      <c r="B25" s="1" t="s">
        <v>49</v>
      </c>
      <c r="C25" s="1" t="s">
        <v>54</v>
      </c>
      <c r="D25" s="1" t="s">
        <v>53</v>
      </c>
      <c r="E25" s="1" t="s">
        <v>51</v>
      </c>
      <c r="F25" s="5" t="str">
        <f t="shared" si="0"/>
        <v>Bridge - Regional - $250 mil-$500 mil</v>
      </c>
      <c r="G25" s="168">
        <v>3.5659301435824166E-2</v>
      </c>
      <c r="H25" s="168">
        <v>3.1699185759928625E-2</v>
      </c>
      <c r="I25" s="168">
        <v>2.7199991470083475E-2</v>
      </c>
      <c r="J25" s="168">
        <v>2.1824454703415111E-2</v>
      </c>
      <c r="K25" s="168">
        <v>3.8856148327217135E-2</v>
      </c>
      <c r="L25" s="168">
        <v>2.5755636317244254E-2</v>
      </c>
      <c r="M25" s="168">
        <v>3.2871629151068692E-2</v>
      </c>
      <c r="N25" s="168">
        <v>3.345802779396459E-2</v>
      </c>
      <c r="O25" s="168">
        <v>3.9865205909980807E-2</v>
      </c>
      <c r="P25" s="168">
        <v>1.8010068429450337E-2</v>
      </c>
      <c r="Q25" s="168">
        <v>1.9677013558636863E-2</v>
      </c>
      <c r="R25" s="168">
        <v>9.5745349269936983E-2</v>
      </c>
      <c r="S25" s="168">
        <v>5.9116203879799066E-2</v>
      </c>
      <c r="T25" s="169">
        <v>2.7202557609631646E-2</v>
      </c>
      <c r="U25" s="169">
        <v>4.8930053015145247E-2</v>
      </c>
      <c r="V25" s="169">
        <v>4.3696640386612765E-2</v>
      </c>
      <c r="W25" s="169">
        <v>3.8291441120280614E-2</v>
      </c>
      <c r="X25" s="169">
        <v>3.5256568409788025E-2</v>
      </c>
      <c r="Y25" s="169">
        <v>3.3716712884767942E-2</v>
      </c>
      <c r="Z25" s="169">
        <v>3.265167201877546E-2</v>
      </c>
      <c r="AA25" s="169">
        <v>3.1812994137085E-2</v>
      </c>
      <c r="AB25" s="169">
        <v>3.111018418916715E-2</v>
      </c>
      <c r="AC25" s="169">
        <v>3.0500994870007282E-2</v>
      </c>
      <c r="AD25" s="170">
        <v>3.8649066161315471E-2</v>
      </c>
      <c r="AE25" s="170">
        <v>3.1957887989443101E-2</v>
      </c>
      <c r="AF25" s="170">
        <v>3.5298071416168808E-2</v>
      </c>
    </row>
    <row r="26" spans="2:32" x14ac:dyDescent="0.3">
      <c r="B26" s="1" t="s">
        <v>49</v>
      </c>
      <c r="C26" s="1" t="s">
        <v>54</v>
      </c>
      <c r="D26" s="1" t="s">
        <v>53</v>
      </c>
      <c r="E26" s="1" t="s">
        <v>23</v>
      </c>
      <c r="F26" s="5" t="str">
        <f t="shared" si="0"/>
        <v>Bridge - Regional - $500 mil-$1 bn</v>
      </c>
      <c r="G26" s="168">
        <v>3.5659301435824166E-2</v>
      </c>
      <c r="H26" s="168">
        <v>3.1699185759928625E-2</v>
      </c>
      <c r="I26" s="168">
        <v>2.7199991470083475E-2</v>
      </c>
      <c r="J26" s="168">
        <v>2.1824454703415111E-2</v>
      </c>
      <c r="K26" s="168">
        <v>3.8856148327217135E-2</v>
      </c>
      <c r="L26" s="168">
        <v>2.5755636317244254E-2</v>
      </c>
      <c r="M26" s="168">
        <v>3.2871629151068692E-2</v>
      </c>
      <c r="N26" s="168">
        <v>3.345802779396459E-2</v>
      </c>
      <c r="O26" s="168">
        <v>3.9865205909980807E-2</v>
      </c>
      <c r="P26" s="168">
        <v>1.8010068429450337E-2</v>
      </c>
      <c r="Q26" s="168">
        <v>1.9677013558636863E-2</v>
      </c>
      <c r="R26" s="168">
        <v>9.5745349269936983E-2</v>
      </c>
      <c r="S26" s="168">
        <v>5.9116203879799066E-2</v>
      </c>
      <c r="T26" s="169">
        <v>2.7202557609631646E-2</v>
      </c>
      <c r="U26" s="169">
        <v>4.8930053015145247E-2</v>
      </c>
      <c r="V26" s="169">
        <v>4.3696640386612765E-2</v>
      </c>
      <c r="W26" s="169">
        <v>3.8291441120280614E-2</v>
      </c>
      <c r="X26" s="169">
        <v>3.5256568409788025E-2</v>
      </c>
      <c r="Y26" s="169">
        <v>3.3716712884767942E-2</v>
      </c>
      <c r="Z26" s="169">
        <v>3.265167201877546E-2</v>
      </c>
      <c r="AA26" s="169">
        <v>3.1812994137085E-2</v>
      </c>
      <c r="AB26" s="169">
        <v>3.111018418916715E-2</v>
      </c>
      <c r="AC26" s="169">
        <v>3.0500994870007282E-2</v>
      </c>
      <c r="AD26" s="170">
        <v>3.8649066161315471E-2</v>
      </c>
      <c r="AE26" s="170">
        <v>3.1957887989443101E-2</v>
      </c>
      <c r="AF26" s="170">
        <v>3.5298071416168808E-2</v>
      </c>
    </row>
    <row r="27" spans="2:32" x14ac:dyDescent="0.3">
      <c r="B27" s="1" t="s">
        <v>49</v>
      </c>
      <c r="C27" s="1" t="s">
        <v>54</v>
      </c>
      <c r="D27" s="1" t="s">
        <v>53</v>
      </c>
      <c r="E27" s="1" t="s">
        <v>52</v>
      </c>
      <c r="F27" s="5" t="str">
        <f t="shared" si="0"/>
        <v>Bridge - Regional - $1 bn-$5 bn</v>
      </c>
      <c r="G27" s="168">
        <v>3.5659301435824166E-2</v>
      </c>
      <c r="H27" s="168">
        <v>3.1699185759928625E-2</v>
      </c>
      <c r="I27" s="168">
        <v>2.7199991470083475E-2</v>
      </c>
      <c r="J27" s="168">
        <v>2.1824454703415111E-2</v>
      </c>
      <c r="K27" s="168">
        <v>3.8856148327217135E-2</v>
      </c>
      <c r="L27" s="168">
        <v>2.5755636317244254E-2</v>
      </c>
      <c r="M27" s="168">
        <v>3.2871629151068692E-2</v>
      </c>
      <c r="N27" s="168">
        <v>3.345802779396459E-2</v>
      </c>
      <c r="O27" s="168">
        <v>3.9865205909980807E-2</v>
      </c>
      <c r="P27" s="168">
        <v>1.8010068429450337E-2</v>
      </c>
      <c r="Q27" s="168">
        <v>1.9677013558636863E-2</v>
      </c>
      <c r="R27" s="168">
        <v>9.5745349269936983E-2</v>
      </c>
      <c r="S27" s="168">
        <v>5.9116203879799066E-2</v>
      </c>
      <c r="T27" s="169">
        <v>2.7202557609631646E-2</v>
      </c>
      <c r="U27" s="169">
        <v>4.8930053015145247E-2</v>
      </c>
      <c r="V27" s="169">
        <v>4.3696640386612765E-2</v>
      </c>
      <c r="W27" s="169">
        <v>3.8291441120280614E-2</v>
      </c>
      <c r="X27" s="169">
        <v>3.5256568409788025E-2</v>
      </c>
      <c r="Y27" s="169">
        <v>3.3716712884767942E-2</v>
      </c>
      <c r="Z27" s="169">
        <v>3.265167201877546E-2</v>
      </c>
      <c r="AA27" s="169">
        <v>3.1812994137085E-2</v>
      </c>
      <c r="AB27" s="169">
        <v>3.111018418916715E-2</v>
      </c>
      <c r="AC27" s="169">
        <v>3.0500994870007282E-2</v>
      </c>
      <c r="AD27" s="170">
        <v>3.8649066161315471E-2</v>
      </c>
      <c r="AE27" s="170">
        <v>3.1957887989443101E-2</v>
      </c>
      <c r="AF27" s="170">
        <v>3.5298071416168808E-2</v>
      </c>
    </row>
    <row r="28" spans="2:32" x14ac:dyDescent="0.3">
      <c r="B28" s="1" t="s">
        <v>49</v>
      </c>
      <c r="C28" s="1" t="s">
        <v>54</v>
      </c>
      <c r="D28" s="1" t="s">
        <v>53</v>
      </c>
      <c r="E28" s="1" t="s">
        <v>28</v>
      </c>
      <c r="F28" s="5" t="str">
        <f t="shared" si="0"/>
        <v>Bridge - Regional - &gt;$5 bn</v>
      </c>
      <c r="G28" s="168">
        <v>3.5659301435824166E-2</v>
      </c>
      <c r="H28" s="168">
        <v>3.1699185759928625E-2</v>
      </c>
      <c r="I28" s="168">
        <v>2.7199991470083475E-2</v>
      </c>
      <c r="J28" s="168">
        <v>2.1824454703415111E-2</v>
      </c>
      <c r="K28" s="168">
        <v>3.8856148327217135E-2</v>
      </c>
      <c r="L28" s="168">
        <v>2.5755636317244254E-2</v>
      </c>
      <c r="M28" s="168">
        <v>3.2871629151068692E-2</v>
      </c>
      <c r="N28" s="168">
        <v>3.345802779396459E-2</v>
      </c>
      <c r="O28" s="168">
        <v>3.9865205909980807E-2</v>
      </c>
      <c r="P28" s="168">
        <v>1.8010068429450337E-2</v>
      </c>
      <c r="Q28" s="168">
        <v>1.9677013558636863E-2</v>
      </c>
      <c r="R28" s="168">
        <v>9.5745349269936983E-2</v>
      </c>
      <c r="S28" s="168">
        <v>5.9116203879799066E-2</v>
      </c>
      <c r="T28" s="169">
        <v>2.7202557609631646E-2</v>
      </c>
      <c r="U28" s="169">
        <v>4.8930053015145247E-2</v>
      </c>
      <c r="V28" s="169">
        <v>4.3696640386612765E-2</v>
      </c>
      <c r="W28" s="169">
        <v>3.8291441120280614E-2</v>
      </c>
      <c r="X28" s="169">
        <v>3.5256568409788025E-2</v>
      </c>
      <c r="Y28" s="169">
        <v>3.3716712884767942E-2</v>
      </c>
      <c r="Z28" s="169">
        <v>3.265167201877546E-2</v>
      </c>
      <c r="AA28" s="169">
        <v>3.1812994137085E-2</v>
      </c>
      <c r="AB28" s="169">
        <v>3.111018418916715E-2</v>
      </c>
      <c r="AC28" s="169">
        <v>3.0500994870007282E-2</v>
      </c>
      <c r="AD28" s="170">
        <v>3.8649066161315471E-2</v>
      </c>
      <c r="AE28" s="170">
        <v>3.1957887989443101E-2</v>
      </c>
      <c r="AF28" s="170">
        <v>3.5298071416168808E-2</v>
      </c>
    </row>
    <row r="29" spans="2:32" x14ac:dyDescent="0.3">
      <c r="B29" s="1" t="s">
        <v>49</v>
      </c>
      <c r="C29" s="1" t="s">
        <v>55</v>
      </c>
      <c r="D29" s="1" t="s">
        <v>22</v>
      </c>
      <c r="E29" s="1" t="s">
        <v>50</v>
      </c>
      <c r="F29" s="5" t="str">
        <f t="shared" si="0"/>
        <v>Rail - Metro - &lt;$250 mil</v>
      </c>
      <c r="G29" s="168">
        <v>2.6462923632766609E-2</v>
      </c>
      <c r="H29" s="168">
        <v>3.3156955031282929E-2</v>
      </c>
      <c r="I29" s="168">
        <v>2.7070843942827834E-2</v>
      </c>
      <c r="J29" s="168">
        <v>2.2301496695313391E-2</v>
      </c>
      <c r="K29" s="168">
        <v>4.5189309866823499E-2</v>
      </c>
      <c r="L29" s="168">
        <v>2.1598446755828903E-2</v>
      </c>
      <c r="M29" s="168">
        <v>2.996130102525776E-2</v>
      </c>
      <c r="N29" s="168">
        <v>3.2400878828448457E-2</v>
      </c>
      <c r="O29" s="168">
        <v>3.8433566236625694E-2</v>
      </c>
      <c r="P29" s="168">
        <v>2.4077999751232232E-2</v>
      </c>
      <c r="Q29" s="168">
        <v>1.4791050629431859E-2</v>
      </c>
      <c r="R29" s="168">
        <v>9.8629234391898163E-2</v>
      </c>
      <c r="S29" s="168">
        <v>5.892002464984894E-2</v>
      </c>
      <c r="T29" s="169">
        <v>2.3222124650482023E-2</v>
      </c>
      <c r="U29" s="169">
        <v>4.8014785020676208E-2</v>
      </c>
      <c r="V29" s="169">
        <v>4.2658543305462128E-2</v>
      </c>
      <c r="W29" s="169">
        <v>3.7188453795094743E-2</v>
      </c>
      <c r="X29" s="169">
        <v>3.4288267422981876E-2</v>
      </c>
      <c r="Y29" s="169">
        <v>3.293312513300671E-2</v>
      </c>
      <c r="Z29" s="169">
        <v>3.2011845044672228E-2</v>
      </c>
      <c r="AA29" s="169">
        <v>3.1281527650185451E-2</v>
      </c>
      <c r="AB29" s="169">
        <v>3.0662403317923016E-2</v>
      </c>
      <c r="AC29" s="169">
        <v>3.0119953623285609E-2</v>
      </c>
      <c r="AD29" s="170">
        <v>3.7040558456460371E-2</v>
      </c>
      <c r="AE29" s="170">
        <v>3.1401293877523662E-2</v>
      </c>
      <c r="AF29" s="170">
        <v>3.4217082529322429E-2</v>
      </c>
    </row>
    <row r="30" spans="2:32" x14ac:dyDescent="0.3">
      <c r="B30" s="1" t="s">
        <v>49</v>
      </c>
      <c r="C30" s="1" t="s">
        <v>55</v>
      </c>
      <c r="D30" s="1" t="s">
        <v>22</v>
      </c>
      <c r="E30" s="1" t="s">
        <v>51</v>
      </c>
      <c r="F30" s="5" t="str">
        <f t="shared" si="0"/>
        <v>Rail - Metro - $250 mil-$500 mil</v>
      </c>
      <c r="G30" s="168">
        <v>2.6462923632766609E-2</v>
      </c>
      <c r="H30" s="168">
        <v>3.3156955031282929E-2</v>
      </c>
      <c r="I30" s="168">
        <v>2.7070843942827834E-2</v>
      </c>
      <c r="J30" s="168">
        <v>2.2301496695313391E-2</v>
      </c>
      <c r="K30" s="168">
        <v>4.5189309866823499E-2</v>
      </c>
      <c r="L30" s="168">
        <v>2.1598446755828903E-2</v>
      </c>
      <c r="M30" s="168">
        <v>2.996130102525776E-2</v>
      </c>
      <c r="N30" s="168">
        <v>3.2400878828448457E-2</v>
      </c>
      <c r="O30" s="168">
        <v>3.8433566236625694E-2</v>
      </c>
      <c r="P30" s="168">
        <v>2.4077999751232232E-2</v>
      </c>
      <c r="Q30" s="168">
        <v>1.4791050629431859E-2</v>
      </c>
      <c r="R30" s="168">
        <v>9.8629234391898163E-2</v>
      </c>
      <c r="S30" s="168">
        <v>5.892002464984894E-2</v>
      </c>
      <c r="T30" s="169">
        <v>2.3222124650482023E-2</v>
      </c>
      <c r="U30" s="169">
        <v>4.8014785020676208E-2</v>
      </c>
      <c r="V30" s="169">
        <v>4.2658543305462128E-2</v>
      </c>
      <c r="W30" s="169">
        <v>3.7188453795094743E-2</v>
      </c>
      <c r="X30" s="169">
        <v>3.4288267422981876E-2</v>
      </c>
      <c r="Y30" s="169">
        <v>3.293312513300671E-2</v>
      </c>
      <c r="Z30" s="169">
        <v>3.2011845044672228E-2</v>
      </c>
      <c r="AA30" s="169">
        <v>3.1281527650185451E-2</v>
      </c>
      <c r="AB30" s="169">
        <v>3.0662403317923016E-2</v>
      </c>
      <c r="AC30" s="169">
        <v>3.0119953623285609E-2</v>
      </c>
      <c r="AD30" s="170">
        <v>3.7040558456460371E-2</v>
      </c>
      <c r="AE30" s="170">
        <v>3.1401293877523662E-2</v>
      </c>
      <c r="AF30" s="170">
        <v>3.4217082529322429E-2</v>
      </c>
    </row>
    <row r="31" spans="2:32" x14ac:dyDescent="0.3">
      <c r="B31" s="1" t="s">
        <v>49</v>
      </c>
      <c r="C31" s="1" t="s">
        <v>55</v>
      </c>
      <c r="D31" s="1" t="s">
        <v>22</v>
      </c>
      <c r="E31" s="1" t="s">
        <v>23</v>
      </c>
      <c r="F31" s="5" t="str">
        <f t="shared" si="0"/>
        <v>Rail - Metro - $500 mil-$1 bn</v>
      </c>
      <c r="G31" s="168">
        <v>2.6462923632766609E-2</v>
      </c>
      <c r="H31" s="168">
        <v>3.3156955031282929E-2</v>
      </c>
      <c r="I31" s="168">
        <v>2.7070843942827834E-2</v>
      </c>
      <c r="J31" s="168">
        <v>2.2301496695313391E-2</v>
      </c>
      <c r="K31" s="168">
        <v>4.5189309866823499E-2</v>
      </c>
      <c r="L31" s="168">
        <v>2.1598446755828903E-2</v>
      </c>
      <c r="M31" s="168">
        <v>2.996130102525776E-2</v>
      </c>
      <c r="N31" s="168">
        <v>3.2400878828448457E-2</v>
      </c>
      <c r="O31" s="168">
        <v>3.8433566236625694E-2</v>
      </c>
      <c r="P31" s="168">
        <v>2.4077999751232232E-2</v>
      </c>
      <c r="Q31" s="168">
        <v>1.4791050629431859E-2</v>
      </c>
      <c r="R31" s="168">
        <v>9.8629234391898163E-2</v>
      </c>
      <c r="S31" s="168">
        <v>5.892002464984894E-2</v>
      </c>
      <c r="T31" s="169">
        <v>2.3222124650482023E-2</v>
      </c>
      <c r="U31" s="169">
        <v>4.8014785020676208E-2</v>
      </c>
      <c r="V31" s="169">
        <v>4.2658543305462128E-2</v>
      </c>
      <c r="W31" s="169">
        <v>3.7188453795094743E-2</v>
      </c>
      <c r="X31" s="169">
        <v>3.4288267422981876E-2</v>
      </c>
      <c r="Y31" s="169">
        <v>3.293312513300671E-2</v>
      </c>
      <c r="Z31" s="169">
        <v>3.2011845044672228E-2</v>
      </c>
      <c r="AA31" s="169">
        <v>3.1281527650185451E-2</v>
      </c>
      <c r="AB31" s="169">
        <v>3.0662403317923016E-2</v>
      </c>
      <c r="AC31" s="169">
        <v>3.0119953623285609E-2</v>
      </c>
      <c r="AD31" s="170">
        <v>3.7040558456460371E-2</v>
      </c>
      <c r="AE31" s="170">
        <v>3.1401293877523662E-2</v>
      </c>
      <c r="AF31" s="170">
        <v>3.4217082529322429E-2</v>
      </c>
    </row>
    <row r="32" spans="2:32" x14ac:dyDescent="0.3">
      <c r="B32" s="1" t="s">
        <v>49</v>
      </c>
      <c r="C32" s="1" t="s">
        <v>55</v>
      </c>
      <c r="D32" s="1" t="s">
        <v>22</v>
      </c>
      <c r="E32" s="1" t="s">
        <v>52</v>
      </c>
      <c r="F32" s="5" t="str">
        <f t="shared" si="0"/>
        <v>Rail - Metro - $1 bn-$5 bn</v>
      </c>
      <c r="G32" s="168">
        <v>2.6462923632766609E-2</v>
      </c>
      <c r="H32" s="168">
        <v>3.3156955031282929E-2</v>
      </c>
      <c r="I32" s="168">
        <v>2.7070843942827834E-2</v>
      </c>
      <c r="J32" s="168">
        <v>2.2301496695313391E-2</v>
      </c>
      <c r="K32" s="168">
        <v>4.5189309866823499E-2</v>
      </c>
      <c r="L32" s="168">
        <v>2.1598446755828903E-2</v>
      </c>
      <c r="M32" s="168">
        <v>2.996130102525776E-2</v>
      </c>
      <c r="N32" s="168">
        <v>3.2400878828448457E-2</v>
      </c>
      <c r="O32" s="168">
        <v>3.8433566236625694E-2</v>
      </c>
      <c r="P32" s="168">
        <v>2.4077999751232232E-2</v>
      </c>
      <c r="Q32" s="168">
        <v>1.4791050629431859E-2</v>
      </c>
      <c r="R32" s="168">
        <v>9.8629234391898163E-2</v>
      </c>
      <c r="S32" s="168">
        <v>5.892002464984894E-2</v>
      </c>
      <c r="T32" s="169">
        <v>2.3222124650482023E-2</v>
      </c>
      <c r="U32" s="169">
        <v>4.8014785020676208E-2</v>
      </c>
      <c r="V32" s="169">
        <v>4.2658543305462128E-2</v>
      </c>
      <c r="W32" s="169">
        <v>3.7188453795094743E-2</v>
      </c>
      <c r="X32" s="169">
        <v>3.4288267422981876E-2</v>
      </c>
      <c r="Y32" s="169">
        <v>3.293312513300671E-2</v>
      </c>
      <c r="Z32" s="169">
        <v>3.2011845044672228E-2</v>
      </c>
      <c r="AA32" s="169">
        <v>3.1281527650185451E-2</v>
      </c>
      <c r="AB32" s="169">
        <v>3.0662403317923016E-2</v>
      </c>
      <c r="AC32" s="169">
        <v>3.0119953623285609E-2</v>
      </c>
      <c r="AD32" s="170">
        <v>3.7040558456460371E-2</v>
      </c>
      <c r="AE32" s="170">
        <v>3.1401293877523662E-2</v>
      </c>
      <c r="AF32" s="170">
        <v>3.4217082529322429E-2</v>
      </c>
    </row>
    <row r="33" spans="2:32" x14ac:dyDescent="0.3">
      <c r="B33" s="1" t="s">
        <v>49</v>
      </c>
      <c r="C33" s="1" t="s">
        <v>55</v>
      </c>
      <c r="D33" s="1" t="s">
        <v>22</v>
      </c>
      <c r="E33" s="1" t="s">
        <v>28</v>
      </c>
      <c r="F33" s="5" t="str">
        <f t="shared" si="0"/>
        <v>Rail - Metro - &gt;$5 bn</v>
      </c>
      <c r="G33" s="168">
        <v>2.6462923632766609E-2</v>
      </c>
      <c r="H33" s="168">
        <v>3.3156955031282929E-2</v>
      </c>
      <c r="I33" s="168">
        <v>2.7070843942827834E-2</v>
      </c>
      <c r="J33" s="168">
        <v>2.2301496695313391E-2</v>
      </c>
      <c r="K33" s="168">
        <v>4.5189309866823499E-2</v>
      </c>
      <c r="L33" s="168">
        <v>2.1598446755828903E-2</v>
      </c>
      <c r="M33" s="168">
        <v>2.996130102525776E-2</v>
      </c>
      <c r="N33" s="168">
        <v>3.2400878828448457E-2</v>
      </c>
      <c r="O33" s="168">
        <v>3.8433566236625694E-2</v>
      </c>
      <c r="P33" s="168">
        <v>2.4077999751232232E-2</v>
      </c>
      <c r="Q33" s="168">
        <v>1.4791050629431859E-2</v>
      </c>
      <c r="R33" s="168">
        <v>9.8629234391898163E-2</v>
      </c>
      <c r="S33" s="168">
        <v>5.892002464984894E-2</v>
      </c>
      <c r="T33" s="169">
        <v>2.3222124650482023E-2</v>
      </c>
      <c r="U33" s="169">
        <v>4.8014785020676208E-2</v>
      </c>
      <c r="V33" s="169">
        <v>4.2658543305462128E-2</v>
      </c>
      <c r="W33" s="169">
        <v>3.7188453795094743E-2</v>
      </c>
      <c r="X33" s="169">
        <v>3.4288267422981876E-2</v>
      </c>
      <c r="Y33" s="169">
        <v>3.293312513300671E-2</v>
      </c>
      <c r="Z33" s="169">
        <v>3.2011845044672228E-2</v>
      </c>
      <c r="AA33" s="169">
        <v>3.1281527650185451E-2</v>
      </c>
      <c r="AB33" s="169">
        <v>3.0662403317923016E-2</v>
      </c>
      <c r="AC33" s="169">
        <v>3.0119953623285609E-2</v>
      </c>
      <c r="AD33" s="170">
        <v>3.7040558456460371E-2</v>
      </c>
      <c r="AE33" s="170">
        <v>3.1401293877523662E-2</v>
      </c>
      <c r="AF33" s="170">
        <v>3.4217082529322429E-2</v>
      </c>
    </row>
    <row r="34" spans="2:32" x14ac:dyDescent="0.3">
      <c r="B34" s="1" t="s">
        <v>49</v>
      </c>
      <c r="C34" s="1" t="s">
        <v>55</v>
      </c>
      <c r="D34" s="1" t="s">
        <v>53</v>
      </c>
      <c r="E34" s="1" t="s">
        <v>50</v>
      </c>
      <c r="F34" s="5" t="str">
        <f t="shared" si="0"/>
        <v>Rail - Regional - &lt;$250 mil</v>
      </c>
      <c r="G34" s="168">
        <v>3.1834646338664258E-2</v>
      </c>
      <c r="H34" s="168">
        <v>3.4734992570606894E-2</v>
      </c>
      <c r="I34" s="168">
        <v>2.8260984103065906E-2</v>
      </c>
      <c r="J34" s="168">
        <v>2.2857110864745327E-2</v>
      </c>
      <c r="K34" s="168">
        <v>4.3881107025345173E-2</v>
      </c>
      <c r="L34" s="168">
        <v>2.4156096816735365E-2</v>
      </c>
      <c r="M34" s="168">
        <v>3.125874725283919E-2</v>
      </c>
      <c r="N34" s="168">
        <v>3.2765997333100795E-2</v>
      </c>
      <c r="O34" s="168">
        <v>4.3024067969886046E-2</v>
      </c>
      <c r="P34" s="168">
        <v>2.4077802583584395E-2</v>
      </c>
      <c r="Q34" s="168">
        <v>1.7754906824548056E-2</v>
      </c>
      <c r="R34" s="168">
        <v>9.7345098222127072E-2</v>
      </c>
      <c r="S34" s="168">
        <v>5.6187463960997573E-2</v>
      </c>
      <c r="T34" s="169">
        <v>2.4818132405607155E-2</v>
      </c>
      <c r="U34" s="169">
        <v>4.8536614106447266E-2</v>
      </c>
      <c r="V34" s="169">
        <v>4.331188760228951E-2</v>
      </c>
      <c r="W34" s="169">
        <v>3.7885216484454712E-2</v>
      </c>
      <c r="X34" s="169">
        <v>3.4989265149258077E-2</v>
      </c>
      <c r="Y34" s="169">
        <v>3.3635454269484798E-2</v>
      </c>
      <c r="Z34" s="169">
        <v>3.2713941973397997E-2</v>
      </c>
      <c r="AA34" s="169">
        <v>3.1982490130020941E-2</v>
      </c>
      <c r="AB34" s="169">
        <v>3.1361731447079697E-2</v>
      </c>
      <c r="AC34" s="169">
        <v>3.0817396651963962E-2</v>
      </c>
      <c r="AD34" s="170">
        <v>3.7877138223031626E-2</v>
      </c>
      <c r="AE34" s="170">
        <v>3.2101724492078709E-2</v>
      </c>
      <c r="AF34" s="170">
        <v>3.4985402878173089E-2</v>
      </c>
    </row>
    <row r="35" spans="2:32" x14ac:dyDescent="0.3">
      <c r="B35" s="1" t="s">
        <v>49</v>
      </c>
      <c r="C35" s="1" t="s">
        <v>55</v>
      </c>
      <c r="D35" s="1" t="s">
        <v>53</v>
      </c>
      <c r="E35" s="1" t="s">
        <v>51</v>
      </c>
      <c r="F35" s="5" t="str">
        <f t="shared" si="0"/>
        <v>Rail - Regional - $250 mil-$500 mil</v>
      </c>
      <c r="G35" s="168">
        <v>3.1834646338664258E-2</v>
      </c>
      <c r="H35" s="168">
        <v>3.4734992570606894E-2</v>
      </c>
      <c r="I35" s="168">
        <v>2.8260984103065906E-2</v>
      </c>
      <c r="J35" s="168">
        <v>2.2857110864745327E-2</v>
      </c>
      <c r="K35" s="168">
        <v>4.3881107025345173E-2</v>
      </c>
      <c r="L35" s="168">
        <v>2.4156096816735365E-2</v>
      </c>
      <c r="M35" s="168">
        <v>3.125874725283919E-2</v>
      </c>
      <c r="N35" s="168">
        <v>3.2765997333100795E-2</v>
      </c>
      <c r="O35" s="168">
        <v>4.3024067969886046E-2</v>
      </c>
      <c r="P35" s="168">
        <v>2.4077802583584395E-2</v>
      </c>
      <c r="Q35" s="168">
        <v>1.7754906824548056E-2</v>
      </c>
      <c r="R35" s="168">
        <v>9.7345098222127072E-2</v>
      </c>
      <c r="S35" s="168">
        <v>5.6187463960997573E-2</v>
      </c>
      <c r="T35" s="169">
        <v>2.4818132405607155E-2</v>
      </c>
      <c r="U35" s="169">
        <v>4.8536614106447266E-2</v>
      </c>
      <c r="V35" s="169">
        <v>4.331188760228951E-2</v>
      </c>
      <c r="W35" s="169">
        <v>3.7885216484454712E-2</v>
      </c>
      <c r="X35" s="169">
        <v>3.4989265149258077E-2</v>
      </c>
      <c r="Y35" s="169">
        <v>3.3635454269484798E-2</v>
      </c>
      <c r="Z35" s="169">
        <v>3.2713941973397997E-2</v>
      </c>
      <c r="AA35" s="169">
        <v>3.1982490130020941E-2</v>
      </c>
      <c r="AB35" s="169">
        <v>3.1361731447079697E-2</v>
      </c>
      <c r="AC35" s="169">
        <v>3.0817396651963962E-2</v>
      </c>
      <c r="AD35" s="170">
        <v>3.7877138223031626E-2</v>
      </c>
      <c r="AE35" s="170">
        <v>3.2101724492078709E-2</v>
      </c>
      <c r="AF35" s="170">
        <v>3.4985402878173089E-2</v>
      </c>
    </row>
    <row r="36" spans="2:32" x14ac:dyDescent="0.3">
      <c r="B36" s="1" t="s">
        <v>49</v>
      </c>
      <c r="C36" s="1" t="s">
        <v>55</v>
      </c>
      <c r="D36" s="1" t="s">
        <v>53</v>
      </c>
      <c r="E36" s="1" t="s">
        <v>23</v>
      </c>
      <c r="F36" s="5" t="str">
        <f t="shared" si="0"/>
        <v>Rail - Regional - $500 mil-$1 bn</v>
      </c>
      <c r="G36" s="168">
        <v>3.1834646338664258E-2</v>
      </c>
      <c r="H36" s="168">
        <v>3.4734992570606894E-2</v>
      </c>
      <c r="I36" s="168">
        <v>2.8260984103065906E-2</v>
      </c>
      <c r="J36" s="168">
        <v>2.2857110864745327E-2</v>
      </c>
      <c r="K36" s="168">
        <v>4.3881107025345173E-2</v>
      </c>
      <c r="L36" s="168">
        <v>2.4156096816735365E-2</v>
      </c>
      <c r="M36" s="168">
        <v>3.125874725283919E-2</v>
      </c>
      <c r="N36" s="168">
        <v>3.2765997333100795E-2</v>
      </c>
      <c r="O36" s="168">
        <v>4.3024067969886046E-2</v>
      </c>
      <c r="P36" s="168">
        <v>2.4077802583584395E-2</v>
      </c>
      <c r="Q36" s="168">
        <v>1.7754906824548056E-2</v>
      </c>
      <c r="R36" s="168">
        <v>9.7345098222127072E-2</v>
      </c>
      <c r="S36" s="168">
        <v>5.6187463960997573E-2</v>
      </c>
      <c r="T36" s="169">
        <v>2.4818132405607155E-2</v>
      </c>
      <c r="U36" s="169">
        <v>4.8536614106447266E-2</v>
      </c>
      <c r="V36" s="169">
        <v>4.331188760228951E-2</v>
      </c>
      <c r="W36" s="169">
        <v>3.7885216484454712E-2</v>
      </c>
      <c r="X36" s="169">
        <v>3.4989265149258077E-2</v>
      </c>
      <c r="Y36" s="169">
        <v>3.3635454269484798E-2</v>
      </c>
      <c r="Z36" s="169">
        <v>3.2713941973397997E-2</v>
      </c>
      <c r="AA36" s="169">
        <v>3.1982490130020941E-2</v>
      </c>
      <c r="AB36" s="169">
        <v>3.1361731447079697E-2</v>
      </c>
      <c r="AC36" s="169">
        <v>3.0817396651963962E-2</v>
      </c>
      <c r="AD36" s="170">
        <v>3.7877138223031626E-2</v>
      </c>
      <c r="AE36" s="170">
        <v>3.2101724492078709E-2</v>
      </c>
      <c r="AF36" s="170">
        <v>3.4985402878173089E-2</v>
      </c>
    </row>
    <row r="37" spans="2:32" x14ac:dyDescent="0.3">
      <c r="B37" s="1" t="s">
        <v>49</v>
      </c>
      <c r="C37" s="1" t="s">
        <v>55</v>
      </c>
      <c r="D37" s="1" t="s">
        <v>53</v>
      </c>
      <c r="E37" s="1" t="s">
        <v>52</v>
      </c>
      <c r="F37" s="5" t="str">
        <f t="shared" si="0"/>
        <v>Rail - Regional - $1 bn-$5 bn</v>
      </c>
      <c r="G37" s="168">
        <v>3.1834646338664258E-2</v>
      </c>
      <c r="H37" s="168">
        <v>3.4734992570606894E-2</v>
      </c>
      <c r="I37" s="168">
        <v>2.8260984103065906E-2</v>
      </c>
      <c r="J37" s="168">
        <v>2.2857110864745327E-2</v>
      </c>
      <c r="K37" s="168">
        <v>4.3881107025345173E-2</v>
      </c>
      <c r="L37" s="168">
        <v>2.4156096816735365E-2</v>
      </c>
      <c r="M37" s="168">
        <v>3.125874725283919E-2</v>
      </c>
      <c r="N37" s="168">
        <v>3.2765997333100795E-2</v>
      </c>
      <c r="O37" s="168">
        <v>4.3024067969886046E-2</v>
      </c>
      <c r="P37" s="168">
        <v>2.4077802583584395E-2</v>
      </c>
      <c r="Q37" s="168">
        <v>1.7754906824548056E-2</v>
      </c>
      <c r="R37" s="168">
        <v>9.7345098222127072E-2</v>
      </c>
      <c r="S37" s="168">
        <v>5.6187463960997573E-2</v>
      </c>
      <c r="T37" s="169">
        <v>2.4818132405607155E-2</v>
      </c>
      <c r="U37" s="169">
        <v>4.8536614106447266E-2</v>
      </c>
      <c r="V37" s="169">
        <v>4.331188760228951E-2</v>
      </c>
      <c r="W37" s="169">
        <v>3.7885216484454712E-2</v>
      </c>
      <c r="X37" s="169">
        <v>3.4989265149258077E-2</v>
      </c>
      <c r="Y37" s="169">
        <v>3.3635454269484798E-2</v>
      </c>
      <c r="Z37" s="169">
        <v>3.2713941973397997E-2</v>
      </c>
      <c r="AA37" s="169">
        <v>3.1982490130020941E-2</v>
      </c>
      <c r="AB37" s="169">
        <v>3.1361731447079697E-2</v>
      </c>
      <c r="AC37" s="169">
        <v>3.0817396651963962E-2</v>
      </c>
      <c r="AD37" s="170">
        <v>3.7877138223031626E-2</v>
      </c>
      <c r="AE37" s="170">
        <v>3.2101724492078709E-2</v>
      </c>
      <c r="AF37" s="170">
        <v>3.4985402878173089E-2</v>
      </c>
    </row>
    <row r="38" spans="2:32" x14ac:dyDescent="0.3">
      <c r="B38" s="1" t="s">
        <v>49</v>
      </c>
      <c r="C38" s="1" t="s">
        <v>55</v>
      </c>
      <c r="D38" s="1" t="s">
        <v>53</v>
      </c>
      <c r="E38" s="1" t="s">
        <v>28</v>
      </c>
      <c r="F38" s="5" t="str">
        <f t="shared" si="0"/>
        <v>Rail - Regional - &gt;$5 bn</v>
      </c>
      <c r="G38" s="168">
        <v>3.1834646338664258E-2</v>
      </c>
      <c r="H38" s="168">
        <v>3.4734992570606894E-2</v>
      </c>
      <c r="I38" s="168">
        <v>2.8260984103065906E-2</v>
      </c>
      <c r="J38" s="168">
        <v>2.2857110864745327E-2</v>
      </c>
      <c r="K38" s="168">
        <v>4.3881107025345173E-2</v>
      </c>
      <c r="L38" s="168">
        <v>2.4156096816735365E-2</v>
      </c>
      <c r="M38" s="168">
        <v>3.125874725283919E-2</v>
      </c>
      <c r="N38" s="168">
        <v>3.2765997333100795E-2</v>
      </c>
      <c r="O38" s="168">
        <v>4.3024067969886046E-2</v>
      </c>
      <c r="P38" s="168">
        <v>2.4077802583584395E-2</v>
      </c>
      <c r="Q38" s="168">
        <v>1.7754906824548056E-2</v>
      </c>
      <c r="R38" s="168">
        <v>9.7345098222127072E-2</v>
      </c>
      <c r="S38" s="168">
        <v>5.6187463960997573E-2</v>
      </c>
      <c r="T38" s="169">
        <v>2.4818132405607155E-2</v>
      </c>
      <c r="U38" s="169">
        <v>4.8536614106447266E-2</v>
      </c>
      <c r="V38" s="169">
        <v>4.331188760228951E-2</v>
      </c>
      <c r="W38" s="169">
        <v>3.7885216484454712E-2</v>
      </c>
      <c r="X38" s="169">
        <v>3.4989265149258077E-2</v>
      </c>
      <c r="Y38" s="169">
        <v>3.3635454269484798E-2</v>
      </c>
      <c r="Z38" s="169">
        <v>3.2713941973397997E-2</v>
      </c>
      <c r="AA38" s="169">
        <v>3.1982490130020941E-2</v>
      </c>
      <c r="AB38" s="169">
        <v>3.1361731447079697E-2</v>
      </c>
      <c r="AC38" s="169">
        <v>3.0817396651963962E-2</v>
      </c>
      <c r="AD38" s="170">
        <v>3.7877138223031626E-2</v>
      </c>
      <c r="AE38" s="170">
        <v>3.2101724492078709E-2</v>
      </c>
      <c r="AF38" s="170">
        <v>3.4985402878173089E-2</v>
      </c>
    </row>
    <row r="39" spans="2:32" x14ac:dyDescent="0.3">
      <c r="B39" s="1" t="s">
        <v>49</v>
      </c>
      <c r="C39" s="1" t="s">
        <v>56</v>
      </c>
      <c r="D39" s="1" t="s">
        <v>22</v>
      </c>
      <c r="E39" s="1" t="s">
        <v>50</v>
      </c>
      <c r="F39" s="5" t="str">
        <f t="shared" si="0"/>
        <v>Tunnel - Metro - &lt;$250 mil</v>
      </c>
      <c r="G39" s="168">
        <v>0</v>
      </c>
      <c r="H39" s="168">
        <v>0</v>
      </c>
      <c r="I39" s="168">
        <v>0</v>
      </c>
      <c r="J39" s="168">
        <v>0</v>
      </c>
      <c r="K39" s="168">
        <v>0</v>
      </c>
      <c r="L39" s="168">
        <v>0</v>
      </c>
      <c r="M39" s="168">
        <v>0</v>
      </c>
      <c r="N39" s="168">
        <v>0</v>
      </c>
      <c r="O39" s="168">
        <v>0</v>
      </c>
      <c r="P39" s="168">
        <v>0</v>
      </c>
      <c r="Q39" s="168">
        <v>0</v>
      </c>
      <c r="R39" s="168">
        <v>0</v>
      </c>
      <c r="S39" s="168">
        <v>0</v>
      </c>
      <c r="T39" s="169">
        <v>0</v>
      </c>
      <c r="U39" s="169">
        <v>0</v>
      </c>
      <c r="V39" s="169">
        <v>0</v>
      </c>
      <c r="W39" s="169">
        <v>0</v>
      </c>
      <c r="X39" s="169">
        <v>0</v>
      </c>
      <c r="Y39" s="169">
        <v>0</v>
      </c>
      <c r="Z39" s="169">
        <v>0</v>
      </c>
      <c r="AA39" s="169">
        <v>0</v>
      </c>
      <c r="AB39" s="169">
        <v>0</v>
      </c>
      <c r="AC39" s="169">
        <v>0</v>
      </c>
      <c r="AD39" s="170">
        <v>0</v>
      </c>
      <c r="AE39" s="170">
        <v>0</v>
      </c>
      <c r="AF39" s="170">
        <v>0</v>
      </c>
    </row>
    <row r="40" spans="2:32" x14ac:dyDescent="0.3">
      <c r="B40" s="1" t="s">
        <v>49</v>
      </c>
      <c r="C40" s="1" t="s">
        <v>56</v>
      </c>
      <c r="D40" s="1" t="s">
        <v>22</v>
      </c>
      <c r="E40" s="1" t="s">
        <v>51</v>
      </c>
      <c r="F40" s="5" t="str">
        <f t="shared" si="0"/>
        <v>Tunnel - Metro - $250 mil-$500 mil</v>
      </c>
      <c r="G40" s="168">
        <v>0</v>
      </c>
      <c r="H40" s="168">
        <v>0</v>
      </c>
      <c r="I40" s="168">
        <v>0</v>
      </c>
      <c r="J40" s="168">
        <v>0</v>
      </c>
      <c r="K40" s="168">
        <v>0</v>
      </c>
      <c r="L40" s="168">
        <v>0</v>
      </c>
      <c r="M40" s="168">
        <v>0</v>
      </c>
      <c r="N40" s="168">
        <v>0</v>
      </c>
      <c r="O40" s="168">
        <v>0</v>
      </c>
      <c r="P40" s="168">
        <v>0</v>
      </c>
      <c r="Q40" s="168">
        <v>0</v>
      </c>
      <c r="R40" s="168">
        <v>0</v>
      </c>
      <c r="S40" s="168">
        <v>0</v>
      </c>
      <c r="T40" s="169">
        <v>0</v>
      </c>
      <c r="U40" s="169">
        <v>0</v>
      </c>
      <c r="V40" s="169">
        <v>0</v>
      </c>
      <c r="W40" s="169">
        <v>0</v>
      </c>
      <c r="X40" s="169">
        <v>0</v>
      </c>
      <c r="Y40" s="169">
        <v>0</v>
      </c>
      <c r="Z40" s="169">
        <v>0</v>
      </c>
      <c r="AA40" s="169">
        <v>0</v>
      </c>
      <c r="AB40" s="169">
        <v>0</v>
      </c>
      <c r="AC40" s="169">
        <v>0</v>
      </c>
      <c r="AD40" s="170">
        <v>0</v>
      </c>
      <c r="AE40" s="170">
        <v>0</v>
      </c>
      <c r="AF40" s="170">
        <v>0</v>
      </c>
    </row>
    <row r="41" spans="2:32" x14ac:dyDescent="0.3">
      <c r="B41" s="1" t="s">
        <v>49</v>
      </c>
      <c r="C41" s="1" t="s">
        <v>56</v>
      </c>
      <c r="D41" s="1" t="s">
        <v>22</v>
      </c>
      <c r="E41" s="1" t="s">
        <v>23</v>
      </c>
      <c r="F41" s="5" t="str">
        <f t="shared" si="0"/>
        <v>Tunnel - Metro - $500 mil-$1 bn</v>
      </c>
      <c r="G41" s="168">
        <v>0</v>
      </c>
      <c r="H41" s="168">
        <v>0</v>
      </c>
      <c r="I41" s="168">
        <v>0</v>
      </c>
      <c r="J41" s="168">
        <v>0</v>
      </c>
      <c r="K41" s="168">
        <v>0</v>
      </c>
      <c r="L41" s="168">
        <v>0</v>
      </c>
      <c r="M41" s="168">
        <v>0</v>
      </c>
      <c r="N41" s="168">
        <v>0</v>
      </c>
      <c r="O41" s="168">
        <v>0</v>
      </c>
      <c r="P41" s="168">
        <v>0</v>
      </c>
      <c r="Q41" s="168">
        <v>0</v>
      </c>
      <c r="R41" s="168">
        <v>0</v>
      </c>
      <c r="S41" s="168">
        <v>0</v>
      </c>
      <c r="T41" s="169">
        <v>0</v>
      </c>
      <c r="U41" s="169">
        <v>0</v>
      </c>
      <c r="V41" s="169">
        <v>0</v>
      </c>
      <c r="W41" s="169">
        <v>0</v>
      </c>
      <c r="X41" s="169">
        <v>0</v>
      </c>
      <c r="Y41" s="169">
        <v>0</v>
      </c>
      <c r="Z41" s="169">
        <v>0</v>
      </c>
      <c r="AA41" s="169">
        <v>0</v>
      </c>
      <c r="AB41" s="169">
        <v>0</v>
      </c>
      <c r="AC41" s="169">
        <v>0</v>
      </c>
      <c r="AD41" s="170">
        <v>0</v>
      </c>
      <c r="AE41" s="170">
        <v>0</v>
      </c>
      <c r="AF41" s="170">
        <v>0</v>
      </c>
    </row>
    <row r="42" spans="2:32" x14ac:dyDescent="0.3">
      <c r="B42" s="1" t="s">
        <v>49</v>
      </c>
      <c r="C42" s="1" t="s">
        <v>56</v>
      </c>
      <c r="D42" s="1" t="s">
        <v>22</v>
      </c>
      <c r="E42" s="1" t="s">
        <v>52</v>
      </c>
      <c r="F42" s="5" t="str">
        <f t="shared" si="0"/>
        <v>Tunnel - Metro - $1 bn-$5 bn</v>
      </c>
      <c r="G42" s="168">
        <v>3.6030447117203622E-2</v>
      </c>
      <c r="H42" s="168">
        <v>3.2919966714452402E-2</v>
      </c>
      <c r="I42" s="168">
        <v>2.8715375326787584E-2</v>
      </c>
      <c r="J42" s="168">
        <v>2.3977689286689013E-2</v>
      </c>
      <c r="K42" s="168">
        <v>3.4825150509079958E-2</v>
      </c>
      <c r="L42" s="168">
        <v>1.9868140673589225E-2</v>
      </c>
      <c r="M42" s="168">
        <v>2.6440652721306874E-2</v>
      </c>
      <c r="N42" s="168">
        <v>3.3638478442328437E-2</v>
      </c>
      <c r="O42" s="168">
        <v>3.7578551366493414E-2</v>
      </c>
      <c r="P42" s="168">
        <v>2.1034734455445674E-2</v>
      </c>
      <c r="Q42" s="168">
        <v>1.9419988671308574E-2</v>
      </c>
      <c r="R42" s="168">
        <v>8.3786427542082861E-2</v>
      </c>
      <c r="S42" s="168">
        <v>5.6325160498041434E-2</v>
      </c>
      <c r="T42" s="169">
        <v>3.2220411364504896E-2</v>
      </c>
      <c r="U42" s="169">
        <v>4.713884272152237E-2</v>
      </c>
      <c r="V42" s="169">
        <v>4.0261701491421435E-2</v>
      </c>
      <c r="W42" s="169">
        <v>3.6337135143000986E-2</v>
      </c>
      <c r="X42" s="169">
        <v>3.4081990477147689E-2</v>
      </c>
      <c r="Y42" s="169">
        <v>3.2752382489168584E-2</v>
      </c>
      <c r="Z42" s="169">
        <v>3.177777742973184E-2</v>
      </c>
      <c r="AA42" s="169">
        <v>3.0993366442139517E-2</v>
      </c>
      <c r="AB42" s="169">
        <v>3.0330219606749292E-2</v>
      </c>
      <c r="AC42" s="169">
        <v>2.9752874731863291E-2</v>
      </c>
      <c r="AD42" s="170">
        <v>3.7994545628120324E-2</v>
      </c>
      <c r="AE42" s="170">
        <v>3.1120780542472248E-2</v>
      </c>
      <c r="AF42" s="170">
        <v>3.4551954271459628E-2</v>
      </c>
    </row>
    <row r="43" spans="2:32" x14ac:dyDescent="0.3">
      <c r="B43" s="1" t="s">
        <v>49</v>
      </c>
      <c r="C43" s="1" t="s">
        <v>56</v>
      </c>
      <c r="D43" s="1" t="s">
        <v>22</v>
      </c>
      <c r="E43" s="1" t="s">
        <v>28</v>
      </c>
      <c r="F43" s="5" t="str">
        <f t="shared" si="0"/>
        <v>Tunnel - Metro - &gt;$5 bn</v>
      </c>
      <c r="G43" s="168">
        <v>3.6030447117203622E-2</v>
      </c>
      <c r="H43" s="168">
        <v>3.2919966714452402E-2</v>
      </c>
      <c r="I43" s="168">
        <v>2.8715375326787584E-2</v>
      </c>
      <c r="J43" s="168">
        <v>2.3977689286689013E-2</v>
      </c>
      <c r="K43" s="168">
        <v>3.4825150509079958E-2</v>
      </c>
      <c r="L43" s="168">
        <v>1.9868140673589225E-2</v>
      </c>
      <c r="M43" s="168">
        <v>2.6440652721306874E-2</v>
      </c>
      <c r="N43" s="168">
        <v>3.3638478442328437E-2</v>
      </c>
      <c r="O43" s="168">
        <v>3.7578551366493414E-2</v>
      </c>
      <c r="P43" s="168">
        <v>2.1034734455445674E-2</v>
      </c>
      <c r="Q43" s="168">
        <v>1.9419988671308574E-2</v>
      </c>
      <c r="R43" s="168">
        <v>8.3786427542082861E-2</v>
      </c>
      <c r="S43" s="168">
        <v>5.6325160498041434E-2</v>
      </c>
      <c r="T43" s="169">
        <v>3.2220411364504896E-2</v>
      </c>
      <c r="U43" s="169">
        <v>4.713884272152237E-2</v>
      </c>
      <c r="V43" s="169">
        <v>4.0261701491421435E-2</v>
      </c>
      <c r="W43" s="169">
        <v>3.6337135143000986E-2</v>
      </c>
      <c r="X43" s="169">
        <v>3.4081990477147689E-2</v>
      </c>
      <c r="Y43" s="169">
        <v>3.2752382489168584E-2</v>
      </c>
      <c r="Z43" s="169">
        <v>3.177777742973184E-2</v>
      </c>
      <c r="AA43" s="169">
        <v>3.0993366442139517E-2</v>
      </c>
      <c r="AB43" s="169">
        <v>3.0330219606749292E-2</v>
      </c>
      <c r="AC43" s="169">
        <v>2.9752874731863291E-2</v>
      </c>
      <c r="AD43" s="170">
        <v>3.7994545628120324E-2</v>
      </c>
      <c r="AE43" s="170">
        <v>3.1120780542472248E-2</v>
      </c>
      <c r="AF43" s="170">
        <v>3.4551954271459628E-2</v>
      </c>
    </row>
    <row r="44" spans="2:32" x14ac:dyDescent="0.3">
      <c r="B44" s="1" t="s">
        <v>49</v>
      </c>
      <c r="C44" s="1" t="s">
        <v>56</v>
      </c>
      <c r="D44" s="1" t="s">
        <v>53</v>
      </c>
      <c r="E44" s="1" t="s">
        <v>50</v>
      </c>
      <c r="F44" s="5" t="str">
        <f t="shared" si="0"/>
        <v>Tunnel - Regional - &lt;$250 mil</v>
      </c>
      <c r="G44" s="168">
        <v>0</v>
      </c>
      <c r="H44" s="168">
        <v>0</v>
      </c>
      <c r="I44" s="168">
        <v>0</v>
      </c>
      <c r="J44" s="168">
        <v>0</v>
      </c>
      <c r="K44" s="168">
        <v>0</v>
      </c>
      <c r="L44" s="168">
        <v>0</v>
      </c>
      <c r="M44" s="168">
        <v>0</v>
      </c>
      <c r="N44" s="168">
        <v>0</v>
      </c>
      <c r="O44" s="168">
        <v>0</v>
      </c>
      <c r="P44" s="168">
        <v>0</v>
      </c>
      <c r="Q44" s="168">
        <v>0</v>
      </c>
      <c r="R44" s="168">
        <v>0</v>
      </c>
      <c r="S44" s="168">
        <v>0</v>
      </c>
      <c r="T44" s="169">
        <v>0</v>
      </c>
      <c r="U44" s="169">
        <v>0</v>
      </c>
      <c r="V44" s="169">
        <v>0</v>
      </c>
      <c r="W44" s="169">
        <v>0</v>
      </c>
      <c r="X44" s="169">
        <v>0</v>
      </c>
      <c r="Y44" s="169">
        <v>0</v>
      </c>
      <c r="Z44" s="169">
        <v>0</v>
      </c>
      <c r="AA44" s="169">
        <v>0</v>
      </c>
      <c r="AB44" s="169">
        <v>0</v>
      </c>
      <c r="AC44" s="169">
        <v>0</v>
      </c>
      <c r="AD44" s="170">
        <v>0</v>
      </c>
      <c r="AE44" s="170">
        <v>0</v>
      </c>
      <c r="AF44" s="170">
        <v>0</v>
      </c>
    </row>
    <row r="45" spans="2:32" x14ac:dyDescent="0.3">
      <c r="B45" s="1" t="s">
        <v>49</v>
      </c>
      <c r="C45" s="1" t="s">
        <v>56</v>
      </c>
      <c r="D45" s="1" t="s">
        <v>53</v>
      </c>
      <c r="E45" s="1" t="s">
        <v>51</v>
      </c>
      <c r="F45" s="5" t="str">
        <f t="shared" si="0"/>
        <v>Tunnel - Regional - $250 mil-$500 mil</v>
      </c>
      <c r="G45" s="168">
        <v>0</v>
      </c>
      <c r="H45" s="168">
        <v>0</v>
      </c>
      <c r="I45" s="168">
        <v>0</v>
      </c>
      <c r="J45" s="168">
        <v>0</v>
      </c>
      <c r="K45" s="168">
        <v>0</v>
      </c>
      <c r="L45" s="168">
        <v>0</v>
      </c>
      <c r="M45" s="168">
        <v>0</v>
      </c>
      <c r="N45" s="168">
        <v>0</v>
      </c>
      <c r="O45" s="168">
        <v>0</v>
      </c>
      <c r="P45" s="168">
        <v>0</v>
      </c>
      <c r="Q45" s="168">
        <v>0</v>
      </c>
      <c r="R45" s="168">
        <v>0</v>
      </c>
      <c r="S45" s="168">
        <v>0</v>
      </c>
      <c r="T45" s="169">
        <v>0</v>
      </c>
      <c r="U45" s="169">
        <v>0</v>
      </c>
      <c r="V45" s="169">
        <v>0</v>
      </c>
      <c r="W45" s="169">
        <v>0</v>
      </c>
      <c r="X45" s="169">
        <v>0</v>
      </c>
      <c r="Y45" s="169">
        <v>0</v>
      </c>
      <c r="Z45" s="169">
        <v>0</v>
      </c>
      <c r="AA45" s="169">
        <v>0</v>
      </c>
      <c r="AB45" s="169">
        <v>0</v>
      </c>
      <c r="AC45" s="169">
        <v>0</v>
      </c>
      <c r="AD45" s="170">
        <v>0</v>
      </c>
      <c r="AE45" s="170">
        <v>0</v>
      </c>
      <c r="AF45" s="170">
        <v>0</v>
      </c>
    </row>
    <row r="46" spans="2:32" x14ac:dyDescent="0.3">
      <c r="B46" s="1" t="s">
        <v>49</v>
      </c>
      <c r="C46" s="1" t="s">
        <v>56</v>
      </c>
      <c r="D46" s="1" t="s">
        <v>53</v>
      </c>
      <c r="E46" s="1" t="s">
        <v>23</v>
      </c>
      <c r="F46" s="5" t="str">
        <f t="shared" si="0"/>
        <v>Tunnel - Regional - $500 mil-$1 bn</v>
      </c>
      <c r="G46" s="168">
        <v>0</v>
      </c>
      <c r="H46" s="168">
        <v>0</v>
      </c>
      <c r="I46" s="168">
        <v>0</v>
      </c>
      <c r="J46" s="168">
        <v>0</v>
      </c>
      <c r="K46" s="168">
        <v>0</v>
      </c>
      <c r="L46" s="168">
        <v>0</v>
      </c>
      <c r="M46" s="168">
        <v>0</v>
      </c>
      <c r="N46" s="168">
        <v>0</v>
      </c>
      <c r="O46" s="168">
        <v>0</v>
      </c>
      <c r="P46" s="168">
        <v>0</v>
      </c>
      <c r="Q46" s="168">
        <v>0</v>
      </c>
      <c r="R46" s="168">
        <v>0</v>
      </c>
      <c r="S46" s="168">
        <v>0</v>
      </c>
      <c r="T46" s="169">
        <v>0</v>
      </c>
      <c r="U46" s="169">
        <v>0</v>
      </c>
      <c r="V46" s="169">
        <v>0</v>
      </c>
      <c r="W46" s="169">
        <v>0</v>
      </c>
      <c r="X46" s="169">
        <v>0</v>
      </c>
      <c r="Y46" s="169">
        <v>0</v>
      </c>
      <c r="Z46" s="169">
        <v>0</v>
      </c>
      <c r="AA46" s="169">
        <v>0</v>
      </c>
      <c r="AB46" s="169">
        <v>0</v>
      </c>
      <c r="AC46" s="169">
        <v>0</v>
      </c>
      <c r="AD46" s="170">
        <v>0</v>
      </c>
      <c r="AE46" s="170">
        <v>0</v>
      </c>
      <c r="AF46" s="170">
        <v>0</v>
      </c>
    </row>
    <row r="47" spans="2:32" x14ac:dyDescent="0.3">
      <c r="B47" s="1" t="s">
        <v>49</v>
      </c>
      <c r="C47" s="1" t="s">
        <v>56</v>
      </c>
      <c r="D47" s="1" t="s">
        <v>53</v>
      </c>
      <c r="E47" s="1" t="s">
        <v>52</v>
      </c>
      <c r="F47" s="5" t="str">
        <f t="shared" si="0"/>
        <v>Tunnel - Regional - $1 bn-$5 bn</v>
      </c>
      <c r="G47" s="168">
        <v>0</v>
      </c>
      <c r="H47" s="168">
        <v>0</v>
      </c>
      <c r="I47" s="168">
        <v>0</v>
      </c>
      <c r="J47" s="168">
        <v>0</v>
      </c>
      <c r="K47" s="168">
        <v>0</v>
      </c>
      <c r="L47" s="168">
        <v>0</v>
      </c>
      <c r="M47" s="168">
        <v>0</v>
      </c>
      <c r="N47" s="168">
        <v>0</v>
      </c>
      <c r="O47" s="168">
        <v>0</v>
      </c>
      <c r="P47" s="168">
        <v>0</v>
      </c>
      <c r="Q47" s="168">
        <v>0</v>
      </c>
      <c r="R47" s="168">
        <v>0</v>
      </c>
      <c r="S47" s="168">
        <v>0</v>
      </c>
      <c r="T47" s="169">
        <v>0</v>
      </c>
      <c r="U47" s="169">
        <v>0</v>
      </c>
      <c r="V47" s="169">
        <v>0</v>
      </c>
      <c r="W47" s="169">
        <v>0</v>
      </c>
      <c r="X47" s="169">
        <v>0</v>
      </c>
      <c r="Y47" s="169">
        <v>0</v>
      </c>
      <c r="Z47" s="169">
        <v>0</v>
      </c>
      <c r="AA47" s="169">
        <v>0</v>
      </c>
      <c r="AB47" s="169">
        <v>0</v>
      </c>
      <c r="AC47" s="169">
        <v>0</v>
      </c>
      <c r="AD47" s="170">
        <v>0</v>
      </c>
      <c r="AE47" s="170">
        <v>0</v>
      </c>
      <c r="AF47" s="170">
        <v>0</v>
      </c>
    </row>
    <row r="48" spans="2:32" x14ac:dyDescent="0.3">
      <c r="B48" s="1" t="s">
        <v>49</v>
      </c>
      <c r="C48" s="1" t="s">
        <v>56</v>
      </c>
      <c r="D48" s="1" t="s">
        <v>53</v>
      </c>
      <c r="E48" s="1" t="s">
        <v>28</v>
      </c>
      <c r="F48" s="5" t="str">
        <f t="shared" si="0"/>
        <v>Tunnel - Regional - &gt;$5 bn</v>
      </c>
      <c r="G48" s="168">
        <v>0</v>
      </c>
      <c r="H48" s="168">
        <v>0</v>
      </c>
      <c r="I48" s="168">
        <v>0</v>
      </c>
      <c r="J48" s="168">
        <v>0</v>
      </c>
      <c r="K48" s="168">
        <v>0</v>
      </c>
      <c r="L48" s="168">
        <v>0</v>
      </c>
      <c r="M48" s="168">
        <v>0</v>
      </c>
      <c r="N48" s="168">
        <v>0</v>
      </c>
      <c r="O48" s="168">
        <v>0</v>
      </c>
      <c r="P48" s="168">
        <v>0</v>
      </c>
      <c r="Q48" s="168">
        <v>0</v>
      </c>
      <c r="R48" s="168">
        <v>0</v>
      </c>
      <c r="S48" s="168">
        <v>0</v>
      </c>
      <c r="T48" s="169">
        <v>0</v>
      </c>
      <c r="U48" s="169">
        <v>0</v>
      </c>
      <c r="V48" s="169">
        <v>0</v>
      </c>
      <c r="W48" s="169">
        <v>0</v>
      </c>
      <c r="X48" s="169">
        <v>0</v>
      </c>
      <c r="Y48" s="169">
        <v>0</v>
      </c>
      <c r="Z48" s="169">
        <v>0</v>
      </c>
      <c r="AA48" s="169">
        <v>0</v>
      </c>
      <c r="AB48" s="169">
        <v>0</v>
      </c>
      <c r="AC48" s="169">
        <v>0</v>
      </c>
      <c r="AD48" s="170">
        <v>0</v>
      </c>
      <c r="AE48" s="170">
        <v>0</v>
      </c>
      <c r="AF48" s="170">
        <v>0</v>
      </c>
    </row>
    <row r="49" spans="2:32" x14ac:dyDescent="0.3">
      <c r="B49" s="1" t="s">
        <v>57</v>
      </c>
      <c r="C49" s="1" t="s">
        <v>58</v>
      </c>
      <c r="D49" s="1" t="s">
        <v>22</v>
      </c>
      <c r="E49" s="1" t="s">
        <v>50</v>
      </c>
      <c r="F49" s="5" t="str">
        <f t="shared" si="0"/>
        <v>Justice - Metro - &lt;$250 mil</v>
      </c>
      <c r="G49" s="168">
        <v>2.4974295838890697E-2</v>
      </c>
      <c r="H49" s="168">
        <v>2.6926336634001916E-2</v>
      </c>
      <c r="I49" s="168">
        <v>2.2470839846222893E-2</v>
      </c>
      <c r="J49" s="168">
        <v>2.6265048737585898E-2</v>
      </c>
      <c r="K49" s="168">
        <v>4.7568513907164649E-2</v>
      </c>
      <c r="L49" s="168">
        <v>1.6188294931773494E-2</v>
      </c>
      <c r="M49" s="168">
        <v>3.127737816582879E-2</v>
      </c>
      <c r="N49" s="168">
        <v>3.4792359871636376E-2</v>
      </c>
      <c r="O49" s="168">
        <v>3.5638227974499517E-2</v>
      </c>
      <c r="P49" s="168">
        <v>2.3090200048015899E-2</v>
      </c>
      <c r="Q49" s="168">
        <v>1.871191432246944E-2</v>
      </c>
      <c r="R49" s="168">
        <v>0.10786880669686824</v>
      </c>
      <c r="S49" s="168">
        <v>5.6316239858435924E-2</v>
      </c>
      <c r="T49" s="169">
        <v>1.8541783117671972E-2</v>
      </c>
      <c r="U49" s="169">
        <v>5.2703959846757721E-2</v>
      </c>
      <c r="V49" s="169">
        <v>4.2954975154420691E-2</v>
      </c>
      <c r="W49" s="169">
        <v>3.5996567088617294E-2</v>
      </c>
      <c r="X49" s="169">
        <v>3.3124974273202636E-2</v>
      </c>
      <c r="Y49" s="169">
        <v>3.1752765023398383E-2</v>
      </c>
      <c r="Z49" s="169">
        <v>3.0764954777270748E-2</v>
      </c>
      <c r="AA49" s="169">
        <v>2.9953448419836604E-2</v>
      </c>
      <c r="AB49" s="169">
        <v>2.9269915396241148E-2</v>
      </c>
      <c r="AC49" s="169">
        <v>2.8679263934214282E-2</v>
      </c>
      <c r="AD49" s="170">
        <v>3.6602778385559365E-2</v>
      </c>
      <c r="AE49" s="170">
        <v>3.0083496695339162E-2</v>
      </c>
      <c r="AF49" s="170">
        <v>3.3337996322355679E-2</v>
      </c>
    </row>
    <row r="50" spans="2:32" x14ac:dyDescent="0.3">
      <c r="B50" s="1" t="s">
        <v>57</v>
      </c>
      <c r="C50" s="1" t="s">
        <v>58</v>
      </c>
      <c r="D50" s="1" t="s">
        <v>22</v>
      </c>
      <c r="E50" s="1" t="s">
        <v>51</v>
      </c>
      <c r="F50" s="5" t="str">
        <f t="shared" si="0"/>
        <v>Justice - Metro - $250 mil-$500 mil</v>
      </c>
      <c r="G50" s="168">
        <v>2.4974295838890697E-2</v>
      </c>
      <c r="H50" s="168">
        <v>2.6926336634001916E-2</v>
      </c>
      <c r="I50" s="168">
        <v>2.2470839846222893E-2</v>
      </c>
      <c r="J50" s="168">
        <v>2.6265048737585898E-2</v>
      </c>
      <c r="K50" s="168">
        <v>4.7568513907164649E-2</v>
      </c>
      <c r="L50" s="168">
        <v>1.6188294931773494E-2</v>
      </c>
      <c r="M50" s="168">
        <v>3.127737816582879E-2</v>
      </c>
      <c r="N50" s="168">
        <v>3.4792359871636376E-2</v>
      </c>
      <c r="O50" s="168">
        <v>3.5638227974499517E-2</v>
      </c>
      <c r="P50" s="168">
        <v>2.3090200048015899E-2</v>
      </c>
      <c r="Q50" s="168">
        <v>1.871191432246944E-2</v>
      </c>
      <c r="R50" s="168">
        <v>0.10786880669686824</v>
      </c>
      <c r="S50" s="168">
        <v>5.6316239858435924E-2</v>
      </c>
      <c r="T50" s="169">
        <v>1.8541783117671972E-2</v>
      </c>
      <c r="U50" s="169">
        <v>5.2703959846757721E-2</v>
      </c>
      <c r="V50" s="169">
        <v>4.2954975154420691E-2</v>
      </c>
      <c r="W50" s="169">
        <v>3.5996567088617294E-2</v>
      </c>
      <c r="X50" s="169">
        <v>3.3124974273202636E-2</v>
      </c>
      <c r="Y50" s="169">
        <v>3.1752765023398383E-2</v>
      </c>
      <c r="Z50" s="169">
        <v>3.0764954777270748E-2</v>
      </c>
      <c r="AA50" s="169">
        <v>2.9953448419836604E-2</v>
      </c>
      <c r="AB50" s="169">
        <v>2.9269915396241148E-2</v>
      </c>
      <c r="AC50" s="169">
        <v>2.8679263934214282E-2</v>
      </c>
      <c r="AD50" s="170">
        <v>3.6602778385559365E-2</v>
      </c>
      <c r="AE50" s="170">
        <v>3.0083496695339162E-2</v>
      </c>
      <c r="AF50" s="170">
        <v>3.3337996322355679E-2</v>
      </c>
    </row>
    <row r="51" spans="2:32" x14ac:dyDescent="0.3">
      <c r="B51" s="1" t="s">
        <v>57</v>
      </c>
      <c r="C51" s="1" t="s">
        <v>58</v>
      </c>
      <c r="D51" s="1" t="s">
        <v>22</v>
      </c>
      <c r="E51" s="1" t="s">
        <v>23</v>
      </c>
      <c r="F51" s="5" t="str">
        <f t="shared" si="0"/>
        <v>Justice - Metro - $500 mil-$1 bn</v>
      </c>
      <c r="G51" s="168">
        <v>2.4974295838890697E-2</v>
      </c>
      <c r="H51" s="168">
        <v>2.6926336634001916E-2</v>
      </c>
      <c r="I51" s="168">
        <v>2.2470839846222893E-2</v>
      </c>
      <c r="J51" s="168">
        <v>2.6265048737585898E-2</v>
      </c>
      <c r="K51" s="168">
        <v>4.7568513907164649E-2</v>
      </c>
      <c r="L51" s="168">
        <v>1.6188294931773494E-2</v>
      </c>
      <c r="M51" s="168">
        <v>3.127737816582879E-2</v>
      </c>
      <c r="N51" s="168">
        <v>3.4792359871636376E-2</v>
      </c>
      <c r="O51" s="168">
        <v>3.5638227974499517E-2</v>
      </c>
      <c r="P51" s="168">
        <v>2.3090200048015899E-2</v>
      </c>
      <c r="Q51" s="168">
        <v>1.871191432246944E-2</v>
      </c>
      <c r="R51" s="168">
        <v>0.10786880669686824</v>
      </c>
      <c r="S51" s="168">
        <v>5.6316239858435924E-2</v>
      </c>
      <c r="T51" s="169">
        <v>1.8541783117671972E-2</v>
      </c>
      <c r="U51" s="169">
        <v>5.2703959846757721E-2</v>
      </c>
      <c r="V51" s="169">
        <v>4.2954975154420691E-2</v>
      </c>
      <c r="W51" s="169">
        <v>3.5996567088617294E-2</v>
      </c>
      <c r="X51" s="169">
        <v>3.3124974273202636E-2</v>
      </c>
      <c r="Y51" s="169">
        <v>3.1752765023398383E-2</v>
      </c>
      <c r="Z51" s="169">
        <v>3.0764954777270748E-2</v>
      </c>
      <c r="AA51" s="169">
        <v>2.9953448419836604E-2</v>
      </c>
      <c r="AB51" s="169">
        <v>2.9269915396241148E-2</v>
      </c>
      <c r="AC51" s="169">
        <v>2.8679263934214282E-2</v>
      </c>
      <c r="AD51" s="170">
        <v>3.6602778385559365E-2</v>
      </c>
      <c r="AE51" s="170">
        <v>3.0083496695339162E-2</v>
      </c>
      <c r="AF51" s="170">
        <v>3.3337996322355679E-2</v>
      </c>
    </row>
    <row r="52" spans="2:32" x14ac:dyDescent="0.3">
      <c r="B52" s="1" t="s">
        <v>57</v>
      </c>
      <c r="C52" s="1" t="s">
        <v>58</v>
      </c>
      <c r="D52" s="1" t="s">
        <v>22</v>
      </c>
      <c r="E52" s="1" t="s">
        <v>52</v>
      </c>
      <c r="F52" s="5" t="str">
        <f t="shared" si="0"/>
        <v>Justice - Metro - $1 bn-$5 bn</v>
      </c>
      <c r="G52" s="168">
        <v>2.4974295838890697E-2</v>
      </c>
      <c r="H52" s="168">
        <v>2.6926336634001916E-2</v>
      </c>
      <c r="I52" s="168">
        <v>2.2470839846222893E-2</v>
      </c>
      <c r="J52" s="168">
        <v>2.6265048737585898E-2</v>
      </c>
      <c r="K52" s="168">
        <v>4.7568513907164649E-2</v>
      </c>
      <c r="L52" s="168">
        <v>1.6188294931773494E-2</v>
      </c>
      <c r="M52" s="168">
        <v>3.127737816582879E-2</v>
      </c>
      <c r="N52" s="168">
        <v>3.4792359871636376E-2</v>
      </c>
      <c r="O52" s="168">
        <v>3.5638227974499517E-2</v>
      </c>
      <c r="P52" s="168">
        <v>2.3090200048015899E-2</v>
      </c>
      <c r="Q52" s="168">
        <v>1.871191432246944E-2</v>
      </c>
      <c r="R52" s="168">
        <v>0.10786880669686824</v>
      </c>
      <c r="S52" s="168">
        <v>5.6316239858435924E-2</v>
      </c>
      <c r="T52" s="169">
        <v>1.8541783117671972E-2</v>
      </c>
      <c r="U52" s="169">
        <v>5.2703959846757721E-2</v>
      </c>
      <c r="V52" s="169">
        <v>4.2954975154420691E-2</v>
      </c>
      <c r="W52" s="169">
        <v>3.5996567088617294E-2</v>
      </c>
      <c r="X52" s="169">
        <v>3.3124974273202636E-2</v>
      </c>
      <c r="Y52" s="169">
        <v>3.1752765023398383E-2</v>
      </c>
      <c r="Z52" s="169">
        <v>3.0764954777270748E-2</v>
      </c>
      <c r="AA52" s="169">
        <v>2.9953448419836604E-2</v>
      </c>
      <c r="AB52" s="169">
        <v>2.9269915396241148E-2</v>
      </c>
      <c r="AC52" s="169">
        <v>2.8679263934214282E-2</v>
      </c>
      <c r="AD52" s="170">
        <v>3.6602778385559365E-2</v>
      </c>
      <c r="AE52" s="170">
        <v>3.0083496695339162E-2</v>
      </c>
      <c r="AF52" s="170">
        <v>3.3337996322355679E-2</v>
      </c>
    </row>
    <row r="53" spans="2:32" x14ac:dyDescent="0.3">
      <c r="B53" s="1" t="s">
        <v>57</v>
      </c>
      <c r="C53" s="1" t="s">
        <v>58</v>
      </c>
      <c r="D53" s="1" t="s">
        <v>22</v>
      </c>
      <c r="E53" s="1" t="s">
        <v>28</v>
      </c>
      <c r="F53" s="5" t="str">
        <f t="shared" si="0"/>
        <v>Justice - Metro - &gt;$5 bn</v>
      </c>
      <c r="G53" s="168">
        <v>2.4974295838890697E-2</v>
      </c>
      <c r="H53" s="168">
        <v>2.6926336634001916E-2</v>
      </c>
      <c r="I53" s="168">
        <v>2.2470839846222893E-2</v>
      </c>
      <c r="J53" s="168">
        <v>2.6265048737585898E-2</v>
      </c>
      <c r="K53" s="168">
        <v>4.7568513907164649E-2</v>
      </c>
      <c r="L53" s="168">
        <v>1.6188294931773494E-2</v>
      </c>
      <c r="M53" s="168">
        <v>3.127737816582879E-2</v>
      </c>
      <c r="N53" s="168">
        <v>3.4792359871636376E-2</v>
      </c>
      <c r="O53" s="168">
        <v>3.5638227974499517E-2</v>
      </c>
      <c r="P53" s="168">
        <v>2.3090200048015899E-2</v>
      </c>
      <c r="Q53" s="168">
        <v>1.871191432246944E-2</v>
      </c>
      <c r="R53" s="168">
        <v>0.10786880669686824</v>
      </c>
      <c r="S53" s="168">
        <v>5.6316239858435924E-2</v>
      </c>
      <c r="T53" s="169">
        <v>1.8541783117671972E-2</v>
      </c>
      <c r="U53" s="169">
        <v>5.2703959846757721E-2</v>
      </c>
      <c r="V53" s="169">
        <v>4.2954975154420691E-2</v>
      </c>
      <c r="W53" s="169">
        <v>3.5996567088617294E-2</v>
      </c>
      <c r="X53" s="169">
        <v>3.3124974273202636E-2</v>
      </c>
      <c r="Y53" s="169">
        <v>3.1752765023398383E-2</v>
      </c>
      <c r="Z53" s="169">
        <v>3.0764954777270748E-2</v>
      </c>
      <c r="AA53" s="169">
        <v>2.9953448419836604E-2</v>
      </c>
      <c r="AB53" s="169">
        <v>2.9269915396241148E-2</v>
      </c>
      <c r="AC53" s="169">
        <v>2.8679263934214282E-2</v>
      </c>
      <c r="AD53" s="170">
        <v>3.6602778385559365E-2</v>
      </c>
      <c r="AE53" s="170">
        <v>3.0083496695339162E-2</v>
      </c>
      <c r="AF53" s="170">
        <v>3.3337996322355679E-2</v>
      </c>
    </row>
    <row r="54" spans="2:32" x14ac:dyDescent="0.3">
      <c r="B54" s="1" t="s">
        <v>57</v>
      </c>
      <c r="C54" s="1" t="s">
        <v>58</v>
      </c>
      <c r="D54" s="1" t="s">
        <v>53</v>
      </c>
      <c r="E54" s="1" t="s">
        <v>50</v>
      </c>
      <c r="F54" s="5" t="str">
        <f t="shared" si="0"/>
        <v>Justice - Regional - &lt;$250 mil</v>
      </c>
      <c r="G54" s="168">
        <v>2.4974295838890697E-2</v>
      </c>
      <c r="H54" s="168">
        <v>2.6926336634001916E-2</v>
      </c>
      <c r="I54" s="168">
        <v>2.2470839846222893E-2</v>
      </c>
      <c r="J54" s="168">
        <v>2.6265048737585898E-2</v>
      </c>
      <c r="K54" s="168">
        <v>4.7568513907164649E-2</v>
      </c>
      <c r="L54" s="168">
        <v>1.6188294931773494E-2</v>
      </c>
      <c r="M54" s="168">
        <v>3.127737816582879E-2</v>
      </c>
      <c r="N54" s="168">
        <v>3.4792359871636376E-2</v>
      </c>
      <c r="O54" s="168">
        <v>3.5638227974499517E-2</v>
      </c>
      <c r="P54" s="168">
        <v>2.3090200048015899E-2</v>
      </c>
      <c r="Q54" s="168">
        <v>1.871191432246944E-2</v>
      </c>
      <c r="R54" s="168">
        <v>0.10786880669686824</v>
      </c>
      <c r="S54" s="168">
        <v>5.6316239858435924E-2</v>
      </c>
      <c r="T54" s="169">
        <v>1.8541783117671972E-2</v>
      </c>
      <c r="U54" s="169">
        <v>5.2703959846757721E-2</v>
      </c>
      <c r="V54" s="169">
        <v>4.2954975154420691E-2</v>
      </c>
      <c r="W54" s="169">
        <v>3.5996567088617294E-2</v>
      </c>
      <c r="X54" s="169">
        <v>3.3124974273202636E-2</v>
      </c>
      <c r="Y54" s="169">
        <v>3.1752765023398383E-2</v>
      </c>
      <c r="Z54" s="169">
        <v>3.0764954777270748E-2</v>
      </c>
      <c r="AA54" s="169">
        <v>2.9953448419836604E-2</v>
      </c>
      <c r="AB54" s="169">
        <v>2.9269915396241148E-2</v>
      </c>
      <c r="AC54" s="169">
        <v>2.8679263934214282E-2</v>
      </c>
      <c r="AD54" s="170">
        <v>3.6602778385559365E-2</v>
      </c>
      <c r="AE54" s="170">
        <v>3.0083496695339162E-2</v>
      </c>
      <c r="AF54" s="170">
        <v>3.3337996322355679E-2</v>
      </c>
    </row>
    <row r="55" spans="2:32" x14ac:dyDescent="0.3">
      <c r="B55" s="1" t="s">
        <v>57</v>
      </c>
      <c r="C55" s="1" t="s">
        <v>58</v>
      </c>
      <c r="D55" s="1" t="s">
        <v>53</v>
      </c>
      <c r="E55" s="1" t="s">
        <v>51</v>
      </c>
      <c r="F55" s="5" t="str">
        <f t="shared" si="0"/>
        <v>Justice - Regional - $250 mil-$500 mil</v>
      </c>
      <c r="G55" s="168">
        <v>2.4974295838890697E-2</v>
      </c>
      <c r="H55" s="168">
        <v>2.6926336634001916E-2</v>
      </c>
      <c r="I55" s="168">
        <v>2.2470839846222893E-2</v>
      </c>
      <c r="J55" s="168">
        <v>2.6265048737585898E-2</v>
      </c>
      <c r="K55" s="168">
        <v>4.7568513907164649E-2</v>
      </c>
      <c r="L55" s="168">
        <v>1.6188294931773494E-2</v>
      </c>
      <c r="M55" s="168">
        <v>3.127737816582879E-2</v>
      </c>
      <c r="N55" s="168">
        <v>3.4792359871636376E-2</v>
      </c>
      <c r="O55" s="168">
        <v>3.5638227974499517E-2</v>
      </c>
      <c r="P55" s="168">
        <v>2.3090200048015899E-2</v>
      </c>
      <c r="Q55" s="168">
        <v>1.871191432246944E-2</v>
      </c>
      <c r="R55" s="168">
        <v>0.10786880669686824</v>
      </c>
      <c r="S55" s="168">
        <v>5.6316239858435924E-2</v>
      </c>
      <c r="T55" s="169">
        <v>1.8541783117671972E-2</v>
      </c>
      <c r="U55" s="169">
        <v>5.2703959846757721E-2</v>
      </c>
      <c r="V55" s="169">
        <v>4.2954975154420691E-2</v>
      </c>
      <c r="W55" s="169">
        <v>3.5996567088617294E-2</v>
      </c>
      <c r="X55" s="169">
        <v>3.3124974273202636E-2</v>
      </c>
      <c r="Y55" s="169">
        <v>3.1752765023398383E-2</v>
      </c>
      <c r="Z55" s="169">
        <v>3.0764954777270748E-2</v>
      </c>
      <c r="AA55" s="169">
        <v>2.9953448419836604E-2</v>
      </c>
      <c r="AB55" s="169">
        <v>2.9269915396241148E-2</v>
      </c>
      <c r="AC55" s="169">
        <v>2.8679263934214282E-2</v>
      </c>
      <c r="AD55" s="170">
        <v>3.6602778385559365E-2</v>
      </c>
      <c r="AE55" s="170">
        <v>3.0083496695339162E-2</v>
      </c>
      <c r="AF55" s="170">
        <v>3.3337996322355679E-2</v>
      </c>
    </row>
    <row r="56" spans="2:32" x14ac:dyDescent="0.3">
      <c r="B56" s="1" t="s">
        <v>57</v>
      </c>
      <c r="C56" s="1" t="s">
        <v>58</v>
      </c>
      <c r="D56" s="1" t="s">
        <v>53</v>
      </c>
      <c r="E56" s="1" t="s">
        <v>23</v>
      </c>
      <c r="F56" s="5" t="str">
        <f t="shared" si="0"/>
        <v>Justice - Regional - $500 mil-$1 bn</v>
      </c>
      <c r="G56" s="168">
        <v>2.4974295838890697E-2</v>
      </c>
      <c r="H56" s="168">
        <v>2.6926336634001916E-2</v>
      </c>
      <c r="I56" s="168">
        <v>2.2470839846222893E-2</v>
      </c>
      <c r="J56" s="168">
        <v>2.6265048737585898E-2</v>
      </c>
      <c r="K56" s="168">
        <v>4.7568513907164649E-2</v>
      </c>
      <c r="L56" s="168">
        <v>1.6188294931773494E-2</v>
      </c>
      <c r="M56" s="168">
        <v>3.127737816582879E-2</v>
      </c>
      <c r="N56" s="168">
        <v>3.4792359871636376E-2</v>
      </c>
      <c r="O56" s="168">
        <v>3.5638227974499517E-2</v>
      </c>
      <c r="P56" s="168">
        <v>2.3090200048015899E-2</v>
      </c>
      <c r="Q56" s="168">
        <v>1.871191432246944E-2</v>
      </c>
      <c r="R56" s="168">
        <v>0.10786880669686824</v>
      </c>
      <c r="S56" s="168">
        <v>5.6316239858435924E-2</v>
      </c>
      <c r="T56" s="169">
        <v>1.8541783117671972E-2</v>
      </c>
      <c r="U56" s="169">
        <v>5.2703959846757721E-2</v>
      </c>
      <c r="V56" s="169">
        <v>4.2954975154420691E-2</v>
      </c>
      <c r="W56" s="169">
        <v>3.5996567088617294E-2</v>
      </c>
      <c r="X56" s="169">
        <v>3.3124974273202636E-2</v>
      </c>
      <c r="Y56" s="169">
        <v>3.1752765023398383E-2</v>
      </c>
      <c r="Z56" s="169">
        <v>3.0764954777270748E-2</v>
      </c>
      <c r="AA56" s="169">
        <v>2.9953448419836604E-2</v>
      </c>
      <c r="AB56" s="169">
        <v>2.9269915396241148E-2</v>
      </c>
      <c r="AC56" s="169">
        <v>2.8679263934214282E-2</v>
      </c>
      <c r="AD56" s="170">
        <v>3.6602778385559365E-2</v>
      </c>
      <c r="AE56" s="170">
        <v>3.0083496695339162E-2</v>
      </c>
      <c r="AF56" s="170">
        <v>3.3337996322355679E-2</v>
      </c>
    </row>
    <row r="57" spans="2:32" x14ac:dyDescent="0.3">
      <c r="B57" s="1" t="s">
        <v>57</v>
      </c>
      <c r="C57" s="1" t="s">
        <v>58</v>
      </c>
      <c r="D57" s="1" t="s">
        <v>53</v>
      </c>
      <c r="E57" s="1" t="s">
        <v>52</v>
      </c>
      <c r="F57" s="5" t="str">
        <f t="shared" si="0"/>
        <v>Justice - Regional - $1 bn-$5 bn</v>
      </c>
      <c r="G57" s="168">
        <v>2.4974295838890697E-2</v>
      </c>
      <c r="H57" s="168">
        <v>2.6926336634001916E-2</v>
      </c>
      <c r="I57" s="168">
        <v>2.2470839846222893E-2</v>
      </c>
      <c r="J57" s="168">
        <v>2.6265048737585898E-2</v>
      </c>
      <c r="K57" s="168">
        <v>4.7568513907164649E-2</v>
      </c>
      <c r="L57" s="168">
        <v>1.6188294931773494E-2</v>
      </c>
      <c r="M57" s="168">
        <v>3.127737816582879E-2</v>
      </c>
      <c r="N57" s="168">
        <v>3.4792359871636376E-2</v>
      </c>
      <c r="O57" s="168">
        <v>3.5638227974499517E-2</v>
      </c>
      <c r="P57" s="168">
        <v>2.3090200048015899E-2</v>
      </c>
      <c r="Q57" s="168">
        <v>1.871191432246944E-2</v>
      </c>
      <c r="R57" s="168">
        <v>0.10786880669686824</v>
      </c>
      <c r="S57" s="168">
        <v>5.6316239858435924E-2</v>
      </c>
      <c r="T57" s="169">
        <v>1.8541783117671972E-2</v>
      </c>
      <c r="U57" s="169">
        <v>5.2703959846757721E-2</v>
      </c>
      <c r="V57" s="169">
        <v>4.2954975154420691E-2</v>
      </c>
      <c r="W57" s="169">
        <v>3.5996567088617294E-2</v>
      </c>
      <c r="X57" s="169">
        <v>3.3124974273202636E-2</v>
      </c>
      <c r="Y57" s="169">
        <v>3.1752765023398383E-2</v>
      </c>
      <c r="Z57" s="169">
        <v>3.0764954777270748E-2</v>
      </c>
      <c r="AA57" s="169">
        <v>2.9953448419836604E-2</v>
      </c>
      <c r="AB57" s="169">
        <v>2.9269915396241148E-2</v>
      </c>
      <c r="AC57" s="169">
        <v>2.8679263934214282E-2</v>
      </c>
      <c r="AD57" s="170">
        <v>3.6602778385559365E-2</v>
      </c>
      <c r="AE57" s="170">
        <v>3.0083496695339162E-2</v>
      </c>
      <c r="AF57" s="170">
        <v>3.3337996322355679E-2</v>
      </c>
    </row>
    <row r="58" spans="2:32" x14ac:dyDescent="0.3">
      <c r="B58" s="1" t="s">
        <v>57</v>
      </c>
      <c r="C58" s="1" t="s">
        <v>58</v>
      </c>
      <c r="D58" s="1" t="s">
        <v>53</v>
      </c>
      <c r="E58" s="1" t="s">
        <v>28</v>
      </c>
      <c r="F58" s="5" t="str">
        <f t="shared" si="0"/>
        <v>Justice - Regional - &gt;$5 bn</v>
      </c>
      <c r="G58" s="168">
        <v>2.4974295838890697E-2</v>
      </c>
      <c r="H58" s="168">
        <v>2.6926336634001916E-2</v>
      </c>
      <c r="I58" s="168">
        <v>2.2470839846222893E-2</v>
      </c>
      <c r="J58" s="168">
        <v>2.6265048737585898E-2</v>
      </c>
      <c r="K58" s="168">
        <v>4.7568513907164649E-2</v>
      </c>
      <c r="L58" s="168">
        <v>1.6188294931773494E-2</v>
      </c>
      <c r="M58" s="168">
        <v>3.127737816582879E-2</v>
      </c>
      <c r="N58" s="168">
        <v>3.4792359871636376E-2</v>
      </c>
      <c r="O58" s="168">
        <v>3.5638227974499517E-2</v>
      </c>
      <c r="P58" s="168">
        <v>2.3090200048015899E-2</v>
      </c>
      <c r="Q58" s="168">
        <v>1.871191432246944E-2</v>
      </c>
      <c r="R58" s="168">
        <v>0.10786880669686824</v>
      </c>
      <c r="S58" s="168">
        <v>5.6316239858435924E-2</v>
      </c>
      <c r="T58" s="169">
        <v>1.8541783117671972E-2</v>
      </c>
      <c r="U58" s="169">
        <v>5.2703959846757721E-2</v>
      </c>
      <c r="V58" s="169">
        <v>4.2954975154420691E-2</v>
      </c>
      <c r="W58" s="169">
        <v>3.5996567088617294E-2</v>
      </c>
      <c r="X58" s="169">
        <v>3.3124974273202636E-2</v>
      </c>
      <c r="Y58" s="169">
        <v>3.1752765023398383E-2</v>
      </c>
      <c r="Z58" s="169">
        <v>3.0764954777270748E-2</v>
      </c>
      <c r="AA58" s="169">
        <v>2.9953448419836604E-2</v>
      </c>
      <c r="AB58" s="169">
        <v>2.9269915396241148E-2</v>
      </c>
      <c r="AC58" s="169">
        <v>2.8679263934214282E-2</v>
      </c>
      <c r="AD58" s="170">
        <v>3.6602778385559365E-2</v>
      </c>
      <c r="AE58" s="170">
        <v>3.0083496695339162E-2</v>
      </c>
      <c r="AF58" s="170">
        <v>3.3337996322355679E-2</v>
      </c>
    </row>
    <row r="59" spans="2:32" x14ac:dyDescent="0.3">
      <c r="B59" s="1" t="s">
        <v>57</v>
      </c>
      <c r="C59" s="1" t="s">
        <v>59</v>
      </c>
      <c r="D59" s="1" t="s">
        <v>22</v>
      </c>
      <c r="E59" s="1" t="s">
        <v>50</v>
      </c>
      <c r="F59" s="5" t="str">
        <f t="shared" si="0"/>
        <v>Culture, sport &amp; community - Metro - &lt;$250 mil</v>
      </c>
      <c r="G59" s="168">
        <v>3.0668653215021352E-2</v>
      </c>
      <c r="H59" s="168">
        <v>2.7921286578732812E-2</v>
      </c>
      <c r="I59" s="168">
        <v>2.6099965465702479E-2</v>
      </c>
      <c r="J59" s="168">
        <v>2.8418920796885537E-2</v>
      </c>
      <c r="K59" s="168">
        <v>3.8309407030701355E-2</v>
      </c>
      <c r="L59" s="168">
        <v>2.0339266785537078E-2</v>
      </c>
      <c r="M59" s="168">
        <v>2.9082898628341101E-2</v>
      </c>
      <c r="N59" s="168">
        <v>3.7816926516755119E-2</v>
      </c>
      <c r="O59" s="168">
        <v>3.2427442600355356E-2</v>
      </c>
      <c r="P59" s="168">
        <v>2.0490867242752616E-2</v>
      </c>
      <c r="Q59" s="168">
        <v>2.3166425596199011E-2</v>
      </c>
      <c r="R59" s="168">
        <v>8.7818821476923103E-2</v>
      </c>
      <c r="S59" s="168">
        <v>5.4307856868232945E-2</v>
      </c>
      <c r="T59" s="169">
        <v>2.6279154499407861E-2</v>
      </c>
      <c r="U59" s="169">
        <v>4.8125162888681294E-2</v>
      </c>
      <c r="V59" s="169">
        <v>4.1507771643402601E-2</v>
      </c>
      <c r="W59" s="169">
        <v>3.6180242011341748E-2</v>
      </c>
      <c r="X59" s="169">
        <v>3.3717260951274759E-2</v>
      </c>
      <c r="Y59" s="169">
        <v>3.2560742740304231E-2</v>
      </c>
      <c r="Z59" s="169">
        <v>3.1644467218265408E-2</v>
      </c>
      <c r="AA59" s="169">
        <v>3.0817855419707347E-2</v>
      </c>
      <c r="AB59" s="169">
        <v>3.0140589990155498E-2</v>
      </c>
      <c r="AC59" s="169">
        <v>2.95805472255006E-2</v>
      </c>
      <c r="AD59" s="170">
        <v>3.7135856050840133E-2</v>
      </c>
      <c r="AE59" s="170">
        <v>3.0948295015964966E-2</v>
      </c>
      <c r="AF59" s="170">
        <v>3.4037447337153637E-2</v>
      </c>
    </row>
    <row r="60" spans="2:32" x14ac:dyDescent="0.3">
      <c r="B60" s="1" t="s">
        <v>57</v>
      </c>
      <c r="C60" s="1" t="s">
        <v>59</v>
      </c>
      <c r="D60" s="1" t="s">
        <v>22</v>
      </c>
      <c r="E60" s="1" t="s">
        <v>51</v>
      </c>
      <c r="F60" s="5" t="str">
        <f t="shared" si="0"/>
        <v>Culture, sport &amp; community - Metro - $250 mil-$500 mil</v>
      </c>
      <c r="G60" s="168">
        <v>3.0668653215021352E-2</v>
      </c>
      <c r="H60" s="168">
        <v>2.7921286578732812E-2</v>
      </c>
      <c r="I60" s="168">
        <v>2.6099965465702479E-2</v>
      </c>
      <c r="J60" s="168">
        <v>2.8418920796885537E-2</v>
      </c>
      <c r="K60" s="168">
        <v>3.8309407030701355E-2</v>
      </c>
      <c r="L60" s="168">
        <v>2.0339266785537078E-2</v>
      </c>
      <c r="M60" s="168">
        <v>2.9082898628341101E-2</v>
      </c>
      <c r="N60" s="168">
        <v>3.7816926516755119E-2</v>
      </c>
      <c r="O60" s="168">
        <v>3.2427442600355356E-2</v>
      </c>
      <c r="P60" s="168">
        <v>2.0490867242752616E-2</v>
      </c>
      <c r="Q60" s="168">
        <v>2.3166425596199011E-2</v>
      </c>
      <c r="R60" s="168">
        <v>8.7818821476923103E-2</v>
      </c>
      <c r="S60" s="168">
        <v>5.4307856868232945E-2</v>
      </c>
      <c r="T60" s="169">
        <v>2.6279154499407861E-2</v>
      </c>
      <c r="U60" s="169">
        <v>4.8125162888681294E-2</v>
      </c>
      <c r="V60" s="169">
        <v>4.1507771643402601E-2</v>
      </c>
      <c r="W60" s="169">
        <v>3.6180242011341748E-2</v>
      </c>
      <c r="X60" s="169">
        <v>3.3717260951274759E-2</v>
      </c>
      <c r="Y60" s="169">
        <v>3.2560742740304231E-2</v>
      </c>
      <c r="Z60" s="169">
        <v>3.1644467218265408E-2</v>
      </c>
      <c r="AA60" s="169">
        <v>3.0817855419707347E-2</v>
      </c>
      <c r="AB60" s="169">
        <v>3.0140589990155498E-2</v>
      </c>
      <c r="AC60" s="169">
        <v>2.95805472255006E-2</v>
      </c>
      <c r="AD60" s="170">
        <v>3.7135856050840133E-2</v>
      </c>
      <c r="AE60" s="170">
        <v>3.0948295015964966E-2</v>
      </c>
      <c r="AF60" s="170">
        <v>3.4037447337153637E-2</v>
      </c>
    </row>
    <row r="61" spans="2:32" x14ac:dyDescent="0.3">
      <c r="B61" s="1" t="s">
        <v>57</v>
      </c>
      <c r="C61" s="1" t="s">
        <v>59</v>
      </c>
      <c r="D61" s="1" t="s">
        <v>22</v>
      </c>
      <c r="E61" s="1" t="s">
        <v>23</v>
      </c>
      <c r="F61" s="5" t="str">
        <f t="shared" si="0"/>
        <v>Culture, sport &amp; community - Metro - $500 mil-$1 bn</v>
      </c>
      <c r="G61" s="168">
        <v>3.0668653215021352E-2</v>
      </c>
      <c r="H61" s="168">
        <v>2.7921286578732812E-2</v>
      </c>
      <c r="I61" s="168">
        <v>2.6099965465702479E-2</v>
      </c>
      <c r="J61" s="168">
        <v>2.8418920796885537E-2</v>
      </c>
      <c r="K61" s="168">
        <v>3.8309407030701355E-2</v>
      </c>
      <c r="L61" s="168">
        <v>2.0339266785537078E-2</v>
      </c>
      <c r="M61" s="168">
        <v>2.9082898628341101E-2</v>
      </c>
      <c r="N61" s="168">
        <v>3.7816926516755119E-2</v>
      </c>
      <c r="O61" s="168">
        <v>3.2427442600355356E-2</v>
      </c>
      <c r="P61" s="168">
        <v>2.0490867242752616E-2</v>
      </c>
      <c r="Q61" s="168">
        <v>2.3166425596199011E-2</v>
      </c>
      <c r="R61" s="168">
        <v>8.7818821476923103E-2</v>
      </c>
      <c r="S61" s="168">
        <v>5.4307856868232945E-2</v>
      </c>
      <c r="T61" s="169">
        <v>2.6279154499407861E-2</v>
      </c>
      <c r="U61" s="169">
        <v>4.8125162888681294E-2</v>
      </c>
      <c r="V61" s="169">
        <v>4.1507771643402601E-2</v>
      </c>
      <c r="W61" s="169">
        <v>3.6180242011341748E-2</v>
      </c>
      <c r="X61" s="169">
        <v>3.3717260951274759E-2</v>
      </c>
      <c r="Y61" s="169">
        <v>3.2560742740304231E-2</v>
      </c>
      <c r="Z61" s="169">
        <v>3.1644467218265408E-2</v>
      </c>
      <c r="AA61" s="169">
        <v>3.0817855419707347E-2</v>
      </c>
      <c r="AB61" s="169">
        <v>3.0140589990155498E-2</v>
      </c>
      <c r="AC61" s="169">
        <v>2.95805472255006E-2</v>
      </c>
      <c r="AD61" s="170">
        <v>3.7135856050840133E-2</v>
      </c>
      <c r="AE61" s="170">
        <v>3.0948295015964966E-2</v>
      </c>
      <c r="AF61" s="170">
        <v>3.4037447337153637E-2</v>
      </c>
    </row>
    <row r="62" spans="2:32" x14ac:dyDescent="0.3">
      <c r="B62" s="1" t="s">
        <v>57</v>
      </c>
      <c r="C62" s="1" t="s">
        <v>59</v>
      </c>
      <c r="D62" s="1" t="s">
        <v>22</v>
      </c>
      <c r="E62" s="1" t="s">
        <v>52</v>
      </c>
      <c r="F62" s="5" t="str">
        <f t="shared" si="0"/>
        <v>Culture, sport &amp; community - Metro - $1 bn-$5 bn</v>
      </c>
      <c r="G62" s="168">
        <v>3.0668653215021352E-2</v>
      </c>
      <c r="H62" s="168">
        <v>2.7921286578732812E-2</v>
      </c>
      <c r="I62" s="168">
        <v>2.6099965465702479E-2</v>
      </c>
      <c r="J62" s="168">
        <v>2.8418920796885537E-2</v>
      </c>
      <c r="K62" s="168">
        <v>3.8309407030701355E-2</v>
      </c>
      <c r="L62" s="168">
        <v>2.0339266785537078E-2</v>
      </c>
      <c r="M62" s="168">
        <v>2.9082898628341101E-2</v>
      </c>
      <c r="N62" s="168">
        <v>3.7816926516755119E-2</v>
      </c>
      <c r="O62" s="168">
        <v>3.2427442600355356E-2</v>
      </c>
      <c r="P62" s="168">
        <v>2.0490867242752616E-2</v>
      </c>
      <c r="Q62" s="168">
        <v>2.3166425596199011E-2</v>
      </c>
      <c r="R62" s="168">
        <v>8.7818821476923103E-2</v>
      </c>
      <c r="S62" s="168">
        <v>5.4307856868232945E-2</v>
      </c>
      <c r="T62" s="169">
        <v>2.6279154499407861E-2</v>
      </c>
      <c r="U62" s="169">
        <v>4.8125162888681294E-2</v>
      </c>
      <c r="V62" s="169">
        <v>4.1507771643402601E-2</v>
      </c>
      <c r="W62" s="169">
        <v>3.6180242011341748E-2</v>
      </c>
      <c r="X62" s="169">
        <v>3.3717260951274759E-2</v>
      </c>
      <c r="Y62" s="169">
        <v>3.2560742740304231E-2</v>
      </c>
      <c r="Z62" s="169">
        <v>3.1644467218265408E-2</v>
      </c>
      <c r="AA62" s="169">
        <v>3.0817855419707347E-2</v>
      </c>
      <c r="AB62" s="169">
        <v>3.0140589990155498E-2</v>
      </c>
      <c r="AC62" s="169">
        <v>2.95805472255006E-2</v>
      </c>
      <c r="AD62" s="170">
        <v>3.7135856050840133E-2</v>
      </c>
      <c r="AE62" s="170">
        <v>3.0948295015964966E-2</v>
      </c>
      <c r="AF62" s="170">
        <v>3.4037447337153637E-2</v>
      </c>
    </row>
    <row r="63" spans="2:32" x14ac:dyDescent="0.3">
      <c r="B63" s="1" t="s">
        <v>57</v>
      </c>
      <c r="C63" s="1" t="s">
        <v>59</v>
      </c>
      <c r="D63" s="1" t="s">
        <v>22</v>
      </c>
      <c r="E63" s="1" t="s">
        <v>28</v>
      </c>
      <c r="F63" s="5" t="str">
        <f t="shared" si="0"/>
        <v>Culture, sport &amp; community - Metro - &gt;$5 bn</v>
      </c>
      <c r="G63" s="168">
        <v>3.0668653215021352E-2</v>
      </c>
      <c r="H63" s="168">
        <v>2.7921286578732812E-2</v>
      </c>
      <c r="I63" s="168">
        <v>2.6099965465702479E-2</v>
      </c>
      <c r="J63" s="168">
        <v>2.8418920796885537E-2</v>
      </c>
      <c r="K63" s="168">
        <v>3.8309407030701355E-2</v>
      </c>
      <c r="L63" s="168">
        <v>2.0339266785537078E-2</v>
      </c>
      <c r="M63" s="168">
        <v>2.9082898628341101E-2</v>
      </c>
      <c r="N63" s="168">
        <v>3.7816926516755119E-2</v>
      </c>
      <c r="O63" s="168">
        <v>3.2427442600355356E-2</v>
      </c>
      <c r="P63" s="168">
        <v>2.0490867242752616E-2</v>
      </c>
      <c r="Q63" s="168">
        <v>2.3166425596199011E-2</v>
      </c>
      <c r="R63" s="168">
        <v>8.7818821476923103E-2</v>
      </c>
      <c r="S63" s="168">
        <v>5.4307856868232945E-2</v>
      </c>
      <c r="T63" s="169">
        <v>2.6279154499407861E-2</v>
      </c>
      <c r="U63" s="169">
        <v>4.8125162888681294E-2</v>
      </c>
      <c r="V63" s="169">
        <v>4.1507771643402601E-2</v>
      </c>
      <c r="W63" s="169">
        <v>3.6180242011341748E-2</v>
      </c>
      <c r="X63" s="169">
        <v>3.3717260951274759E-2</v>
      </c>
      <c r="Y63" s="169">
        <v>3.2560742740304231E-2</v>
      </c>
      <c r="Z63" s="169">
        <v>3.1644467218265408E-2</v>
      </c>
      <c r="AA63" s="169">
        <v>3.0817855419707347E-2</v>
      </c>
      <c r="AB63" s="169">
        <v>3.0140589990155498E-2</v>
      </c>
      <c r="AC63" s="169">
        <v>2.95805472255006E-2</v>
      </c>
      <c r="AD63" s="170">
        <v>3.7135856050840133E-2</v>
      </c>
      <c r="AE63" s="170">
        <v>3.0948295015964966E-2</v>
      </c>
      <c r="AF63" s="170">
        <v>3.4037447337153637E-2</v>
      </c>
    </row>
    <row r="64" spans="2:32" x14ac:dyDescent="0.3">
      <c r="B64" s="1" t="s">
        <v>57</v>
      </c>
      <c r="C64" s="1" t="s">
        <v>59</v>
      </c>
      <c r="D64" s="1" t="s">
        <v>53</v>
      </c>
      <c r="E64" s="1" t="s">
        <v>50</v>
      </c>
      <c r="F64" s="5" t="str">
        <f t="shared" si="0"/>
        <v>Culture, sport &amp; community - Regional - &lt;$250 mil</v>
      </c>
      <c r="G64" s="168">
        <v>3.0668653215021352E-2</v>
      </c>
      <c r="H64" s="168">
        <v>2.7921286578732812E-2</v>
      </c>
      <c r="I64" s="168">
        <v>2.6099965465702479E-2</v>
      </c>
      <c r="J64" s="168">
        <v>2.8418920796885537E-2</v>
      </c>
      <c r="K64" s="168">
        <v>3.8309407030701355E-2</v>
      </c>
      <c r="L64" s="168">
        <v>2.0339266785537078E-2</v>
      </c>
      <c r="M64" s="168">
        <v>2.9082898628341101E-2</v>
      </c>
      <c r="N64" s="168">
        <v>3.7816926516755119E-2</v>
      </c>
      <c r="O64" s="168">
        <v>3.2427442600355356E-2</v>
      </c>
      <c r="P64" s="168">
        <v>2.0490867242752616E-2</v>
      </c>
      <c r="Q64" s="168">
        <v>2.3166425596199011E-2</v>
      </c>
      <c r="R64" s="168">
        <v>8.7818821476923103E-2</v>
      </c>
      <c r="S64" s="168">
        <v>5.4307856868232945E-2</v>
      </c>
      <c r="T64" s="169">
        <v>2.6279154499407861E-2</v>
      </c>
      <c r="U64" s="169">
        <v>4.8125162888681294E-2</v>
      </c>
      <c r="V64" s="169">
        <v>4.1507771643402601E-2</v>
      </c>
      <c r="W64" s="169">
        <v>3.6180242011341748E-2</v>
      </c>
      <c r="X64" s="169">
        <v>3.3717260951274759E-2</v>
      </c>
      <c r="Y64" s="169">
        <v>3.2560742740304231E-2</v>
      </c>
      <c r="Z64" s="169">
        <v>3.1644467218265408E-2</v>
      </c>
      <c r="AA64" s="169">
        <v>3.0817855419707347E-2</v>
      </c>
      <c r="AB64" s="169">
        <v>3.0140589990155498E-2</v>
      </c>
      <c r="AC64" s="169">
        <v>2.95805472255006E-2</v>
      </c>
      <c r="AD64" s="170">
        <v>3.7135856050840133E-2</v>
      </c>
      <c r="AE64" s="170">
        <v>3.0948295015964966E-2</v>
      </c>
      <c r="AF64" s="170">
        <v>3.4037447337153637E-2</v>
      </c>
    </row>
    <row r="65" spans="2:32" x14ac:dyDescent="0.3">
      <c r="B65" s="1" t="s">
        <v>57</v>
      </c>
      <c r="C65" s="1" t="s">
        <v>59</v>
      </c>
      <c r="D65" s="1" t="s">
        <v>53</v>
      </c>
      <c r="E65" s="1" t="s">
        <v>51</v>
      </c>
      <c r="F65" s="5" t="str">
        <f t="shared" si="0"/>
        <v>Culture, sport &amp; community - Regional - $250 mil-$500 mil</v>
      </c>
      <c r="G65" s="168">
        <v>3.0668653215021352E-2</v>
      </c>
      <c r="H65" s="168">
        <v>2.7921286578732812E-2</v>
      </c>
      <c r="I65" s="168">
        <v>2.6099965465702479E-2</v>
      </c>
      <c r="J65" s="168">
        <v>2.8418920796885537E-2</v>
      </c>
      <c r="K65" s="168">
        <v>3.8309407030701355E-2</v>
      </c>
      <c r="L65" s="168">
        <v>2.0339266785537078E-2</v>
      </c>
      <c r="M65" s="168">
        <v>2.9082898628341101E-2</v>
      </c>
      <c r="N65" s="168">
        <v>3.7816926516755119E-2</v>
      </c>
      <c r="O65" s="168">
        <v>3.2427442600355356E-2</v>
      </c>
      <c r="P65" s="168">
        <v>2.0490867242752616E-2</v>
      </c>
      <c r="Q65" s="168">
        <v>2.3166425596199011E-2</v>
      </c>
      <c r="R65" s="168">
        <v>8.7818821476923103E-2</v>
      </c>
      <c r="S65" s="168">
        <v>5.4307856868232945E-2</v>
      </c>
      <c r="T65" s="169">
        <v>2.6279154499407861E-2</v>
      </c>
      <c r="U65" s="169">
        <v>4.8125162888681294E-2</v>
      </c>
      <c r="V65" s="169">
        <v>4.1507771643402601E-2</v>
      </c>
      <c r="W65" s="169">
        <v>3.6180242011341748E-2</v>
      </c>
      <c r="X65" s="169">
        <v>3.3717260951274759E-2</v>
      </c>
      <c r="Y65" s="169">
        <v>3.2560742740304231E-2</v>
      </c>
      <c r="Z65" s="169">
        <v>3.1644467218265408E-2</v>
      </c>
      <c r="AA65" s="169">
        <v>3.0817855419707347E-2</v>
      </c>
      <c r="AB65" s="169">
        <v>3.0140589990155498E-2</v>
      </c>
      <c r="AC65" s="169">
        <v>2.95805472255006E-2</v>
      </c>
      <c r="AD65" s="170">
        <v>3.7135856050840133E-2</v>
      </c>
      <c r="AE65" s="170">
        <v>3.0948295015964966E-2</v>
      </c>
      <c r="AF65" s="170">
        <v>3.4037447337153637E-2</v>
      </c>
    </row>
    <row r="66" spans="2:32" x14ac:dyDescent="0.3">
      <c r="B66" s="1" t="s">
        <v>57</v>
      </c>
      <c r="C66" s="1" t="s">
        <v>59</v>
      </c>
      <c r="D66" s="1" t="s">
        <v>53</v>
      </c>
      <c r="E66" s="1" t="s">
        <v>23</v>
      </c>
      <c r="F66" s="5" t="str">
        <f t="shared" si="0"/>
        <v>Culture, sport &amp; community - Regional - $500 mil-$1 bn</v>
      </c>
      <c r="G66" s="168">
        <v>3.0668653215021352E-2</v>
      </c>
      <c r="H66" s="168">
        <v>2.7921286578732812E-2</v>
      </c>
      <c r="I66" s="168">
        <v>2.6099965465702479E-2</v>
      </c>
      <c r="J66" s="168">
        <v>2.8418920796885537E-2</v>
      </c>
      <c r="K66" s="168">
        <v>3.8309407030701355E-2</v>
      </c>
      <c r="L66" s="168">
        <v>2.0339266785537078E-2</v>
      </c>
      <c r="M66" s="168">
        <v>2.9082898628341101E-2</v>
      </c>
      <c r="N66" s="168">
        <v>3.7816926516755119E-2</v>
      </c>
      <c r="O66" s="168">
        <v>3.2427442600355356E-2</v>
      </c>
      <c r="P66" s="168">
        <v>2.0490867242752616E-2</v>
      </c>
      <c r="Q66" s="168">
        <v>2.3166425596199011E-2</v>
      </c>
      <c r="R66" s="168">
        <v>8.7818821476923103E-2</v>
      </c>
      <c r="S66" s="168">
        <v>5.4307856868232945E-2</v>
      </c>
      <c r="T66" s="169">
        <v>2.6279154499407861E-2</v>
      </c>
      <c r="U66" s="169">
        <v>4.8125162888681294E-2</v>
      </c>
      <c r="V66" s="169">
        <v>4.1507771643402601E-2</v>
      </c>
      <c r="W66" s="169">
        <v>3.6180242011341748E-2</v>
      </c>
      <c r="X66" s="169">
        <v>3.3717260951274759E-2</v>
      </c>
      <c r="Y66" s="169">
        <v>3.2560742740304231E-2</v>
      </c>
      <c r="Z66" s="169">
        <v>3.1644467218265408E-2</v>
      </c>
      <c r="AA66" s="169">
        <v>3.0817855419707347E-2</v>
      </c>
      <c r="AB66" s="169">
        <v>3.0140589990155498E-2</v>
      </c>
      <c r="AC66" s="169">
        <v>2.95805472255006E-2</v>
      </c>
      <c r="AD66" s="170">
        <v>3.7135856050840133E-2</v>
      </c>
      <c r="AE66" s="170">
        <v>3.0948295015964966E-2</v>
      </c>
      <c r="AF66" s="170">
        <v>3.4037447337153637E-2</v>
      </c>
    </row>
    <row r="67" spans="2:32" x14ac:dyDescent="0.3">
      <c r="B67" s="1" t="s">
        <v>57</v>
      </c>
      <c r="C67" s="1" t="s">
        <v>59</v>
      </c>
      <c r="D67" s="1" t="s">
        <v>53</v>
      </c>
      <c r="E67" s="1" t="s">
        <v>52</v>
      </c>
      <c r="F67" s="5" t="str">
        <f t="shared" si="0"/>
        <v>Culture, sport &amp; community - Regional - $1 bn-$5 bn</v>
      </c>
      <c r="G67" s="168">
        <v>3.0668653215021352E-2</v>
      </c>
      <c r="H67" s="168">
        <v>2.7921286578732812E-2</v>
      </c>
      <c r="I67" s="168">
        <v>2.6099965465702479E-2</v>
      </c>
      <c r="J67" s="168">
        <v>2.8418920796885537E-2</v>
      </c>
      <c r="K67" s="168">
        <v>3.8309407030701355E-2</v>
      </c>
      <c r="L67" s="168">
        <v>2.0339266785537078E-2</v>
      </c>
      <c r="M67" s="168">
        <v>2.9082898628341101E-2</v>
      </c>
      <c r="N67" s="168">
        <v>3.7816926516755119E-2</v>
      </c>
      <c r="O67" s="168">
        <v>3.2427442600355356E-2</v>
      </c>
      <c r="P67" s="168">
        <v>2.0490867242752616E-2</v>
      </c>
      <c r="Q67" s="168">
        <v>2.3166425596199011E-2</v>
      </c>
      <c r="R67" s="168">
        <v>8.7818821476923103E-2</v>
      </c>
      <c r="S67" s="168">
        <v>5.4307856868232945E-2</v>
      </c>
      <c r="T67" s="169">
        <v>2.6279154499407861E-2</v>
      </c>
      <c r="U67" s="169">
        <v>4.8125162888681294E-2</v>
      </c>
      <c r="V67" s="169">
        <v>4.1507771643402601E-2</v>
      </c>
      <c r="W67" s="169">
        <v>3.6180242011341748E-2</v>
      </c>
      <c r="X67" s="169">
        <v>3.3717260951274759E-2</v>
      </c>
      <c r="Y67" s="169">
        <v>3.2560742740304231E-2</v>
      </c>
      <c r="Z67" s="169">
        <v>3.1644467218265408E-2</v>
      </c>
      <c r="AA67" s="169">
        <v>3.0817855419707347E-2</v>
      </c>
      <c r="AB67" s="169">
        <v>3.0140589990155498E-2</v>
      </c>
      <c r="AC67" s="169">
        <v>2.95805472255006E-2</v>
      </c>
      <c r="AD67" s="170">
        <v>3.7135856050840133E-2</v>
      </c>
      <c r="AE67" s="170">
        <v>3.0948295015964966E-2</v>
      </c>
      <c r="AF67" s="170">
        <v>3.4037447337153637E-2</v>
      </c>
    </row>
    <row r="68" spans="2:32" x14ac:dyDescent="0.3">
      <c r="B68" s="1" t="s">
        <v>57</v>
      </c>
      <c r="C68" s="1" t="s">
        <v>59</v>
      </c>
      <c r="D68" s="1" t="s">
        <v>53</v>
      </c>
      <c r="E68" s="1" t="s">
        <v>28</v>
      </c>
      <c r="F68" s="5" t="str">
        <f t="shared" si="0"/>
        <v>Culture, sport &amp; community - Regional - &gt;$5 bn</v>
      </c>
      <c r="G68" s="168">
        <v>3.0668653215021352E-2</v>
      </c>
      <c r="H68" s="168">
        <v>2.7921286578732812E-2</v>
      </c>
      <c r="I68" s="168">
        <v>2.6099965465702479E-2</v>
      </c>
      <c r="J68" s="168">
        <v>2.8418920796885537E-2</v>
      </c>
      <c r="K68" s="168">
        <v>3.8309407030701355E-2</v>
      </c>
      <c r="L68" s="168">
        <v>2.0339266785537078E-2</v>
      </c>
      <c r="M68" s="168">
        <v>2.9082898628341101E-2</v>
      </c>
      <c r="N68" s="168">
        <v>3.7816926516755119E-2</v>
      </c>
      <c r="O68" s="168">
        <v>3.2427442600355356E-2</v>
      </c>
      <c r="P68" s="168">
        <v>2.0490867242752616E-2</v>
      </c>
      <c r="Q68" s="168">
        <v>2.3166425596199011E-2</v>
      </c>
      <c r="R68" s="168">
        <v>8.7818821476923103E-2</v>
      </c>
      <c r="S68" s="168">
        <v>5.4307856868232945E-2</v>
      </c>
      <c r="T68" s="169">
        <v>2.6279154499407861E-2</v>
      </c>
      <c r="U68" s="169">
        <v>4.8125162888681294E-2</v>
      </c>
      <c r="V68" s="169">
        <v>4.1507771643402601E-2</v>
      </c>
      <c r="W68" s="169">
        <v>3.6180242011341748E-2</v>
      </c>
      <c r="X68" s="169">
        <v>3.3717260951274759E-2</v>
      </c>
      <c r="Y68" s="169">
        <v>3.2560742740304231E-2</v>
      </c>
      <c r="Z68" s="169">
        <v>3.1644467218265408E-2</v>
      </c>
      <c r="AA68" s="169">
        <v>3.0817855419707347E-2</v>
      </c>
      <c r="AB68" s="169">
        <v>3.0140589990155498E-2</v>
      </c>
      <c r="AC68" s="169">
        <v>2.95805472255006E-2</v>
      </c>
      <c r="AD68" s="170">
        <v>3.7135856050840133E-2</v>
      </c>
      <c r="AE68" s="170">
        <v>3.0948295015964966E-2</v>
      </c>
      <c r="AF68" s="170">
        <v>3.4037447337153637E-2</v>
      </c>
    </row>
    <row r="69" spans="2:32" x14ac:dyDescent="0.3">
      <c r="B69" s="1" t="s">
        <v>57</v>
      </c>
      <c r="C69" s="1" t="s">
        <v>60</v>
      </c>
      <c r="D69" s="1" t="s">
        <v>22</v>
      </c>
      <c r="E69" s="1" t="s">
        <v>50</v>
      </c>
      <c r="F69" s="5" t="str">
        <f t="shared" si="0"/>
        <v>Social housing - Metro - &lt;$250 mil</v>
      </c>
      <c r="G69" s="168">
        <v>2.5267075208362289E-2</v>
      </c>
      <c r="H69" s="168">
        <v>2.577908478354269E-2</v>
      </c>
      <c r="I69" s="168">
        <v>2.4103625316370541E-2</v>
      </c>
      <c r="J69" s="168">
        <v>2.4424759503902486E-2</v>
      </c>
      <c r="K69" s="168">
        <v>4.6145753631793442E-2</v>
      </c>
      <c r="L69" s="168">
        <v>2.1794768917469679E-2</v>
      </c>
      <c r="M69" s="168">
        <v>3.1992459215579493E-2</v>
      </c>
      <c r="N69" s="168">
        <v>3.4863472442244269E-2</v>
      </c>
      <c r="O69" s="168">
        <v>3.3436911805832387E-2</v>
      </c>
      <c r="P69" s="168">
        <v>1.9330634587715122E-2</v>
      </c>
      <c r="Q69" s="168">
        <v>1.9979677602588869E-2</v>
      </c>
      <c r="R69" s="168">
        <v>0.10435693861182149</v>
      </c>
      <c r="S69" s="168">
        <v>5.7901651963262586E-2</v>
      </c>
      <c r="T69" s="169">
        <v>1.8916175718261683E-2</v>
      </c>
      <c r="U69" s="169">
        <v>5.0420231305503722E-2</v>
      </c>
      <c r="V69" s="169">
        <v>4.4088870240973417E-2</v>
      </c>
      <c r="W69" s="169">
        <v>3.690032663627936E-2</v>
      </c>
      <c r="X69" s="169">
        <v>3.362444047278431E-2</v>
      </c>
      <c r="Y69" s="169">
        <v>3.2185239484386369E-2</v>
      </c>
      <c r="Z69" s="169">
        <v>3.1134091110098371E-2</v>
      </c>
      <c r="AA69" s="169">
        <v>3.0234202735617624E-2</v>
      </c>
      <c r="AB69" s="169">
        <v>2.9490817764955171E-2</v>
      </c>
      <c r="AC69" s="169">
        <v>2.8865242709856326E-2</v>
      </c>
      <c r="AD69" s="170">
        <v>3.673499027661542E-2</v>
      </c>
      <c r="AE69" s="170">
        <v>3.0381245945472424E-2</v>
      </c>
      <c r="AF69" s="170">
        <v>3.3553235685751304E-2</v>
      </c>
    </row>
    <row r="70" spans="2:32" x14ac:dyDescent="0.3">
      <c r="B70" s="1" t="s">
        <v>57</v>
      </c>
      <c r="C70" s="1" t="s">
        <v>60</v>
      </c>
      <c r="D70" s="1" t="s">
        <v>22</v>
      </c>
      <c r="E70" s="1" t="s">
        <v>51</v>
      </c>
      <c r="F70" s="5" t="str">
        <f t="shared" si="0"/>
        <v>Social housing - Metro - $250 mil-$500 mil</v>
      </c>
      <c r="G70" s="168">
        <v>2.5267075208362289E-2</v>
      </c>
      <c r="H70" s="168">
        <v>2.577908478354269E-2</v>
      </c>
      <c r="I70" s="168">
        <v>2.4103625316370541E-2</v>
      </c>
      <c r="J70" s="168">
        <v>2.4424759503902486E-2</v>
      </c>
      <c r="K70" s="168">
        <v>4.6145753631793442E-2</v>
      </c>
      <c r="L70" s="168">
        <v>2.1794768917469679E-2</v>
      </c>
      <c r="M70" s="168">
        <v>3.1992459215579493E-2</v>
      </c>
      <c r="N70" s="168">
        <v>3.4863472442244269E-2</v>
      </c>
      <c r="O70" s="168">
        <v>3.3436911805832387E-2</v>
      </c>
      <c r="P70" s="168">
        <v>1.9330634587715122E-2</v>
      </c>
      <c r="Q70" s="168">
        <v>1.9979677602588869E-2</v>
      </c>
      <c r="R70" s="168">
        <v>0.10435693861182149</v>
      </c>
      <c r="S70" s="168">
        <v>5.7901651963262586E-2</v>
      </c>
      <c r="T70" s="169">
        <v>1.8916175718261683E-2</v>
      </c>
      <c r="U70" s="169">
        <v>5.0420231305503722E-2</v>
      </c>
      <c r="V70" s="169">
        <v>4.4088870240973417E-2</v>
      </c>
      <c r="W70" s="169">
        <v>3.690032663627936E-2</v>
      </c>
      <c r="X70" s="169">
        <v>3.362444047278431E-2</v>
      </c>
      <c r="Y70" s="169">
        <v>3.2185239484386369E-2</v>
      </c>
      <c r="Z70" s="169">
        <v>3.1134091110098371E-2</v>
      </c>
      <c r="AA70" s="169">
        <v>3.0234202735617624E-2</v>
      </c>
      <c r="AB70" s="169">
        <v>2.9490817764955171E-2</v>
      </c>
      <c r="AC70" s="169">
        <v>2.8865242709856326E-2</v>
      </c>
      <c r="AD70" s="170">
        <v>3.673499027661542E-2</v>
      </c>
      <c r="AE70" s="170">
        <v>3.0381245945472424E-2</v>
      </c>
      <c r="AF70" s="170">
        <v>3.3553235685751304E-2</v>
      </c>
    </row>
    <row r="71" spans="2:32" x14ac:dyDescent="0.3">
      <c r="B71" s="1" t="s">
        <v>57</v>
      </c>
      <c r="C71" s="1" t="s">
        <v>60</v>
      </c>
      <c r="D71" s="1" t="s">
        <v>22</v>
      </c>
      <c r="E71" s="1" t="s">
        <v>23</v>
      </c>
      <c r="F71" s="5" t="str">
        <f t="shared" si="0"/>
        <v>Social housing - Metro - $500 mil-$1 bn</v>
      </c>
      <c r="G71" s="168">
        <v>2.5267075208362289E-2</v>
      </c>
      <c r="H71" s="168">
        <v>2.577908478354269E-2</v>
      </c>
      <c r="I71" s="168">
        <v>2.4103625316370541E-2</v>
      </c>
      <c r="J71" s="168">
        <v>2.4424759503902486E-2</v>
      </c>
      <c r="K71" s="168">
        <v>4.6145753631793442E-2</v>
      </c>
      <c r="L71" s="168">
        <v>2.1794768917469679E-2</v>
      </c>
      <c r="M71" s="168">
        <v>3.1992459215579493E-2</v>
      </c>
      <c r="N71" s="168">
        <v>3.4863472442244269E-2</v>
      </c>
      <c r="O71" s="168">
        <v>3.3436911805832387E-2</v>
      </c>
      <c r="P71" s="168">
        <v>1.9330634587715122E-2</v>
      </c>
      <c r="Q71" s="168">
        <v>1.9979677602588869E-2</v>
      </c>
      <c r="R71" s="168">
        <v>0.10435693861182149</v>
      </c>
      <c r="S71" s="168">
        <v>5.7901651963262586E-2</v>
      </c>
      <c r="T71" s="169">
        <v>1.8916175718261683E-2</v>
      </c>
      <c r="U71" s="169">
        <v>5.0420231305503722E-2</v>
      </c>
      <c r="V71" s="169">
        <v>4.4088870240973417E-2</v>
      </c>
      <c r="W71" s="169">
        <v>3.690032663627936E-2</v>
      </c>
      <c r="X71" s="169">
        <v>3.362444047278431E-2</v>
      </c>
      <c r="Y71" s="169">
        <v>3.2185239484386369E-2</v>
      </c>
      <c r="Z71" s="169">
        <v>3.1134091110098371E-2</v>
      </c>
      <c r="AA71" s="169">
        <v>3.0234202735617624E-2</v>
      </c>
      <c r="AB71" s="169">
        <v>2.9490817764955171E-2</v>
      </c>
      <c r="AC71" s="169">
        <v>2.8865242709856326E-2</v>
      </c>
      <c r="AD71" s="170">
        <v>3.673499027661542E-2</v>
      </c>
      <c r="AE71" s="170">
        <v>3.0381245945472424E-2</v>
      </c>
      <c r="AF71" s="170">
        <v>3.3553235685751304E-2</v>
      </c>
    </row>
    <row r="72" spans="2:32" x14ac:dyDescent="0.3">
      <c r="B72" s="1" t="s">
        <v>57</v>
      </c>
      <c r="C72" s="1" t="s">
        <v>60</v>
      </c>
      <c r="D72" s="1" t="s">
        <v>22</v>
      </c>
      <c r="E72" s="1" t="s">
        <v>52</v>
      </c>
      <c r="F72" s="5" t="str">
        <f t="shared" si="0"/>
        <v>Social housing - Metro - $1 bn-$5 bn</v>
      </c>
      <c r="G72" s="168">
        <v>2.5267075208362289E-2</v>
      </c>
      <c r="H72" s="168">
        <v>2.577908478354269E-2</v>
      </c>
      <c r="I72" s="168">
        <v>2.4103625316370541E-2</v>
      </c>
      <c r="J72" s="168">
        <v>2.4424759503902486E-2</v>
      </c>
      <c r="K72" s="168">
        <v>4.6145753631793442E-2</v>
      </c>
      <c r="L72" s="168">
        <v>2.1794768917469679E-2</v>
      </c>
      <c r="M72" s="168">
        <v>3.1992459215579493E-2</v>
      </c>
      <c r="N72" s="168">
        <v>3.4863472442244269E-2</v>
      </c>
      <c r="O72" s="168">
        <v>3.3436911805832387E-2</v>
      </c>
      <c r="P72" s="168">
        <v>1.9330634587715122E-2</v>
      </c>
      <c r="Q72" s="168">
        <v>1.9979677602588869E-2</v>
      </c>
      <c r="R72" s="168">
        <v>0.10435693861182149</v>
      </c>
      <c r="S72" s="168">
        <v>5.7901651963262586E-2</v>
      </c>
      <c r="T72" s="169">
        <v>1.8916175718261683E-2</v>
      </c>
      <c r="U72" s="169">
        <v>5.0420231305503722E-2</v>
      </c>
      <c r="V72" s="169">
        <v>4.4088870240973417E-2</v>
      </c>
      <c r="W72" s="169">
        <v>3.690032663627936E-2</v>
      </c>
      <c r="X72" s="169">
        <v>3.362444047278431E-2</v>
      </c>
      <c r="Y72" s="169">
        <v>3.2185239484386369E-2</v>
      </c>
      <c r="Z72" s="169">
        <v>3.1134091110098371E-2</v>
      </c>
      <c r="AA72" s="169">
        <v>3.0234202735617624E-2</v>
      </c>
      <c r="AB72" s="169">
        <v>2.9490817764955171E-2</v>
      </c>
      <c r="AC72" s="169">
        <v>2.8865242709856326E-2</v>
      </c>
      <c r="AD72" s="170">
        <v>3.673499027661542E-2</v>
      </c>
      <c r="AE72" s="170">
        <v>3.0381245945472424E-2</v>
      </c>
      <c r="AF72" s="170">
        <v>3.3553235685751304E-2</v>
      </c>
    </row>
    <row r="73" spans="2:32" x14ac:dyDescent="0.3">
      <c r="B73" s="1" t="s">
        <v>57</v>
      </c>
      <c r="C73" s="1" t="s">
        <v>60</v>
      </c>
      <c r="D73" s="1" t="s">
        <v>22</v>
      </c>
      <c r="E73" s="1" t="s">
        <v>28</v>
      </c>
      <c r="F73" s="5" t="str">
        <f t="shared" si="0"/>
        <v>Social housing - Metro - &gt;$5 bn</v>
      </c>
      <c r="G73" s="168">
        <v>2.5267075208362289E-2</v>
      </c>
      <c r="H73" s="168">
        <v>2.577908478354269E-2</v>
      </c>
      <c r="I73" s="168">
        <v>2.4103625316370541E-2</v>
      </c>
      <c r="J73" s="168">
        <v>2.4424759503902486E-2</v>
      </c>
      <c r="K73" s="168">
        <v>4.6145753631793442E-2</v>
      </c>
      <c r="L73" s="168">
        <v>2.1794768917469679E-2</v>
      </c>
      <c r="M73" s="168">
        <v>3.1992459215579493E-2</v>
      </c>
      <c r="N73" s="168">
        <v>3.4863472442244269E-2</v>
      </c>
      <c r="O73" s="168">
        <v>3.3436911805832387E-2</v>
      </c>
      <c r="P73" s="168">
        <v>1.9330634587715122E-2</v>
      </c>
      <c r="Q73" s="168">
        <v>1.9979677602588869E-2</v>
      </c>
      <c r="R73" s="168">
        <v>0.10435693861182149</v>
      </c>
      <c r="S73" s="168">
        <v>5.7901651963262586E-2</v>
      </c>
      <c r="T73" s="169">
        <v>1.8916175718261683E-2</v>
      </c>
      <c r="U73" s="169">
        <v>5.0420231305503722E-2</v>
      </c>
      <c r="V73" s="169">
        <v>4.4088870240973417E-2</v>
      </c>
      <c r="W73" s="169">
        <v>3.690032663627936E-2</v>
      </c>
      <c r="X73" s="169">
        <v>3.362444047278431E-2</v>
      </c>
      <c r="Y73" s="169">
        <v>3.2185239484386369E-2</v>
      </c>
      <c r="Z73" s="169">
        <v>3.1134091110098371E-2</v>
      </c>
      <c r="AA73" s="169">
        <v>3.0234202735617624E-2</v>
      </c>
      <c r="AB73" s="169">
        <v>2.9490817764955171E-2</v>
      </c>
      <c r="AC73" s="169">
        <v>2.8865242709856326E-2</v>
      </c>
      <c r="AD73" s="170">
        <v>3.673499027661542E-2</v>
      </c>
      <c r="AE73" s="170">
        <v>3.0381245945472424E-2</v>
      </c>
      <c r="AF73" s="170">
        <v>3.3553235685751304E-2</v>
      </c>
    </row>
    <row r="74" spans="2:32" x14ac:dyDescent="0.3">
      <c r="B74" s="1" t="s">
        <v>57</v>
      </c>
      <c r="C74" s="1" t="s">
        <v>60</v>
      </c>
      <c r="D74" s="1" t="s">
        <v>53</v>
      </c>
      <c r="E74" s="1" t="s">
        <v>50</v>
      </c>
      <c r="F74" s="5" t="str">
        <f t="shared" si="0"/>
        <v>Social housing - Regional - &lt;$250 mil</v>
      </c>
      <c r="G74" s="168">
        <v>2.5267075208362289E-2</v>
      </c>
      <c r="H74" s="168">
        <v>2.577908478354269E-2</v>
      </c>
      <c r="I74" s="168">
        <v>2.4103625316370541E-2</v>
      </c>
      <c r="J74" s="168">
        <v>2.4424759503902486E-2</v>
      </c>
      <c r="K74" s="168">
        <v>4.6145753631793442E-2</v>
      </c>
      <c r="L74" s="168">
        <v>2.1794768917469679E-2</v>
      </c>
      <c r="M74" s="168">
        <v>3.1992459215579493E-2</v>
      </c>
      <c r="N74" s="168">
        <v>3.4863472442244269E-2</v>
      </c>
      <c r="O74" s="168">
        <v>3.3436911805832387E-2</v>
      </c>
      <c r="P74" s="168">
        <v>1.9330634587715122E-2</v>
      </c>
      <c r="Q74" s="168">
        <v>1.9979677602588869E-2</v>
      </c>
      <c r="R74" s="168">
        <v>0.10435693861182149</v>
      </c>
      <c r="S74" s="168">
        <v>5.7901651963262586E-2</v>
      </c>
      <c r="T74" s="169">
        <v>1.8916175718261683E-2</v>
      </c>
      <c r="U74" s="169">
        <v>5.0420231305503722E-2</v>
      </c>
      <c r="V74" s="169">
        <v>4.4088870240973417E-2</v>
      </c>
      <c r="W74" s="169">
        <v>3.690032663627936E-2</v>
      </c>
      <c r="X74" s="169">
        <v>3.362444047278431E-2</v>
      </c>
      <c r="Y74" s="169">
        <v>3.2185239484386369E-2</v>
      </c>
      <c r="Z74" s="169">
        <v>3.1134091110098371E-2</v>
      </c>
      <c r="AA74" s="169">
        <v>3.0234202735617624E-2</v>
      </c>
      <c r="AB74" s="169">
        <v>2.9490817764955171E-2</v>
      </c>
      <c r="AC74" s="169">
        <v>2.8865242709856326E-2</v>
      </c>
      <c r="AD74" s="170">
        <v>3.673499027661542E-2</v>
      </c>
      <c r="AE74" s="170">
        <v>3.0381245945472424E-2</v>
      </c>
      <c r="AF74" s="170">
        <v>3.3553235685751304E-2</v>
      </c>
    </row>
    <row r="75" spans="2:32" x14ac:dyDescent="0.3">
      <c r="B75" s="1" t="s">
        <v>57</v>
      </c>
      <c r="C75" s="1" t="s">
        <v>60</v>
      </c>
      <c r="D75" s="1" t="s">
        <v>53</v>
      </c>
      <c r="E75" s="1" t="s">
        <v>51</v>
      </c>
      <c r="F75" s="5" t="str">
        <f t="shared" si="0"/>
        <v>Social housing - Regional - $250 mil-$500 mil</v>
      </c>
      <c r="G75" s="168">
        <v>2.5267075208362289E-2</v>
      </c>
      <c r="H75" s="168">
        <v>2.577908478354269E-2</v>
      </c>
      <c r="I75" s="168">
        <v>2.4103625316370541E-2</v>
      </c>
      <c r="J75" s="168">
        <v>2.4424759503902486E-2</v>
      </c>
      <c r="K75" s="168">
        <v>4.6145753631793442E-2</v>
      </c>
      <c r="L75" s="168">
        <v>2.1794768917469679E-2</v>
      </c>
      <c r="M75" s="168">
        <v>3.1992459215579493E-2</v>
      </c>
      <c r="N75" s="168">
        <v>3.4863472442244269E-2</v>
      </c>
      <c r="O75" s="168">
        <v>3.3436911805832387E-2</v>
      </c>
      <c r="P75" s="168">
        <v>1.9330634587715122E-2</v>
      </c>
      <c r="Q75" s="168">
        <v>1.9979677602588869E-2</v>
      </c>
      <c r="R75" s="168">
        <v>0.10435693861182149</v>
      </c>
      <c r="S75" s="168">
        <v>5.7901651963262586E-2</v>
      </c>
      <c r="T75" s="169">
        <v>1.8916175718261683E-2</v>
      </c>
      <c r="U75" s="169">
        <v>5.0420231305503722E-2</v>
      </c>
      <c r="V75" s="169">
        <v>4.4088870240973417E-2</v>
      </c>
      <c r="W75" s="169">
        <v>3.690032663627936E-2</v>
      </c>
      <c r="X75" s="169">
        <v>3.362444047278431E-2</v>
      </c>
      <c r="Y75" s="169">
        <v>3.2185239484386369E-2</v>
      </c>
      <c r="Z75" s="169">
        <v>3.1134091110098371E-2</v>
      </c>
      <c r="AA75" s="169">
        <v>3.0234202735617624E-2</v>
      </c>
      <c r="AB75" s="169">
        <v>2.9490817764955171E-2</v>
      </c>
      <c r="AC75" s="169">
        <v>2.8865242709856326E-2</v>
      </c>
      <c r="AD75" s="170">
        <v>3.673499027661542E-2</v>
      </c>
      <c r="AE75" s="170">
        <v>3.0381245945472424E-2</v>
      </c>
      <c r="AF75" s="170">
        <v>3.3553235685751304E-2</v>
      </c>
    </row>
    <row r="76" spans="2:32" x14ac:dyDescent="0.3">
      <c r="B76" s="1" t="s">
        <v>57</v>
      </c>
      <c r="C76" s="1" t="s">
        <v>60</v>
      </c>
      <c r="D76" s="1" t="s">
        <v>53</v>
      </c>
      <c r="E76" s="1" t="s">
        <v>23</v>
      </c>
      <c r="F76" s="5" t="str">
        <f t="shared" si="0"/>
        <v>Social housing - Regional - $500 mil-$1 bn</v>
      </c>
      <c r="G76" s="168">
        <v>2.5267075208362289E-2</v>
      </c>
      <c r="H76" s="168">
        <v>2.577908478354269E-2</v>
      </c>
      <c r="I76" s="168">
        <v>2.4103625316370541E-2</v>
      </c>
      <c r="J76" s="168">
        <v>2.4424759503902486E-2</v>
      </c>
      <c r="K76" s="168">
        <v>4.6145753631793442E-2</v>
      </c>
      <c r="L76" s="168">
        <v>2.1794768917469679E-2</v>
      </c>
      <c r="M76" s="168">
        <v>3.1992459215579493E-2</v>
      </c>
      <c r="N76" s="168">
        <v>3.4863472442244269E-2</v>
      </c>
      <c r="O76" s="168">
        <v>3.3436911805832387E-2</v>
      </c>
      <c r="P76" s="168">
        <v>1.9330634587715122E-2</v>
      </c>
      <c r="Q76" s="168">
        <v>1.9979677602588869E-2</v>
      </c>
      <c r="R76" s="168">
        <v>0.10435693861182149</v>
      </c>
      <c r="S76" s="168">
        <v>5.7901651963262586E-2</v>
      </c>
      <c r="T76" s="169">
        <v>1.8916175718261683E-2</v>
      </c>
      <c r="U76" s="169">
        <v>5.0420231305503722E-2</v>
      </c>
      <c r="V76" s="169">
        <v>4.4088870240973417E-2</v>
      </c>
      <c r="W76" s="169">
        <v>3.690032663627936E-2</v>
      </c>
      <c r="X76" s="169">
        <v>3.362444047278431E-2</v>
      </c>
      <c r="Y76" s="169">
        <v>3.2185239484386369E-2</v>
      </c>
      <c r="Z76" s="169">
        <v>3.1134091110098371E-2</v>
      </c>
      <c r="AA76" s="169">
        <v>3.0234202735617624E-2</v>
      </c>
      <c r="AB76" s="169">
        <v>2.9490817764955171E-2</v>
      </c>
      <c r="AC76" s="169">
        <v>2.8865242709856326E-2</v>
      </c>
      <c r="AD76" s="170">
        <v>3.673499027661542E-2</v>
      </c>
      <c r="AE76" s="170">
        <v>3.0381245945472424E-2</v>
      </c>
      <c r="AF76" s="170">
        <v>3.3553235685751304E-2</v>
      </c>
    </row>
    <row r="77" spans="2:32" x14ac:dyDescent="0.3">
      <c r="B77" s="1" t="s">
        <v>57</v>
      </c>
      <c r="C77" s="1" t="s">
        <v>60</v>
      </c>
      <c r="D77" s="1" t="s">
        <v>53</v>
      </c>
      <c r="E77" s="1" t="s">
        <v>52</v>
      </c>
      <c r="F77" s="5" t="str">
        <f t="shared" si="0"/>
        <v>Social housing - Regional - $1 bn-$5 bn</v>
      </c>
      <c r="G77" s="168">
        <v>2.5267075208362289E-2</v>
      </c>
      <c r="H77" s="168">
        <v>2.577908478354269E-2</v>
      </c>
      <c r="I77" s="168">
        <v>2.4103625316370541E-2</v>
      </c>
      <c r="J77" s="168">
        <v>2.4424759503902486E-2</v>
      </c>
      <c r="K77" s="168">
        <v>4.6145753631793442E-2</v>
      </c>
      <c r="L77" s="168">
        <v>2.1794768917469679E-2</v>
      </c>
      <c r="M77" s="168">
        <v>3.1992459215579493E-2</v>
      </c>
      <c r="N77" s="168">
        <v>3.4863472442244269E-2</v>
      </c>
      <c r="O77" s="168">
        <v>3.3436911805832387E-2</v>
      </c>
      <c r="P77" s="168">
        <v>1.9330634587715122E-2</v>
      </c>
      <c r="Q77" s="168">
        <v>1.9979677602588869E-2</v>
      </c>
      <c r="R77" s="168">
        <v>0.10435693861182149</v>
      </c>
      <c r="S77" s="168">
        <v>5.7901651963262586E-2</v>
      </c>
      <c r="T77" s="169">
        <v>1.8916175718261683E-2</v>
      </c>
      <c r="U77" s="169">
        <v>5.0420231305503722E-2</v>
      </c>
      <c r="V77" s="169">
        <v>4.4088870240973417E-2</v>
      </c>
      <c r="W77" s="169">
        <v>3.690032663627936E-2</v>
      </c>
      <c r="X77" s="169">
        <v>3.362444047278431E-2</v>
      </c>
      <c r="Y77" s="169">
        <v>3.2185239484386369E-2</v>
      </c>
      <c r="Z77" s="169">
        <v>3.1134091110098371E-2</v>
      </c>
      <c r="AA77" s="169">
        <v>3.0234202735617624E-2</v>
      </c>
      <c r="AB77" s="169">
        <v>2.9490817764955171E-2</v>
      </c>
      <c r="AC77" s="169">
        <v>2.8865242709856326E-2</v>
      </c>
      <c r="AD77" s="170">
        <v>3.673499027661542E-2</v>
      </c>
      <c r="AE77" s="170">
        <v>3.0381245945472424E-2</v>
      </c>
      <c r="AF77" s="170">
        <v>3.3553235685751304E-2</v>
      </c>
    </row>
    <row r="78" spans="2:32" x14ac:dyDescent="0.3">
      <c r="B78" s="1" t="s">
        <v>57</v>
      </c>
      <c r="C78" s="1" t="s">
        <v>60</v>
      </c>
      <c r="D78" s="1" t="s">
        <v>53</v>
      </c>
      <c r="E78" s="1" t="s">
        <v>28</v>
      </c>
      <c r="F78" s="5" t="str">
        <f t="shared" si="0"/>
        <v>Social housing - Regional - &gt;$5 bn</v>
      </c>
      <c r="G78" s="168">
        <v>2.5267075208362289E-2</v>
      </c>
      <c r="H78" s="168">
        <v>2.577908478354269E-2</v>
      </c>
      <c r="I78" s="168">
        <v>2.4103625316370541E-2</v>
      </c>
      <c r="J78" s="168">
        <v>2.4424759503902486E-2</v>
      </c>
      <c r="K78" s="168">
        <v>4.6145753631793442E-2</v>
      </c>
      <c r="L78" s="168">
        <v>2.1794768917469679E-2</v>
      </c>
      <c r="M78" s="168">
        <v>3.1992459215579493E-2</v>
      </c>
      <c r="N78" s="168">
        <v>3.4863472442244269E-2</v>
      </c>
      <c r="O78" s="168">
        <v>3.3436911805832387E-2</v>
      </c>
      <c r="P78" s="168">
        <v>1.9330634587715122E-2</v>
      </c>
      <c r="Q78" s="168">
        <v>1.9979677602588869E-2</v>
      </c>
      <c r="R78" s="168">
        <v>0.10435693861182149</v>
      </c>
      <c r="S78" s="168">
        <v>5.7901651963262586E-2</v>
      </c>
      <c r="T78" s="169">
        <v>1.8916175718261683E-2</v>
      </c>
      <c r="U78" s="169">
        <v>5.0420231305503722E-2</v>
      </c>
      <c r="V78" s="169">
        <v>4.4088870240973417E-2</v>
      </c>
      <c r="W78" s="169">
        <v>3.690032663627936E-2</v>
      </c>
      <c r="X78" s="169">
        <v>3.362444047278431E-2</v>
      </c>
      <c r="Y78" s="169">
        <v>3.2185239484386369E-2</v>
      </c>
      <c r="Z78" s="169">
        <v>3.1134091110098371E-2</v>
      </c>
      <c r="AA78" s="169">
        <v>3.0234202735617624E-2</v>
      </c>
      <c r="AB78" s="169">
        <v>2.9490817764955171E-2</v>
      </c>
      <c r="AC78" s="169">
        <v>2.8865242709856326E-2</v>
      </c>
      <c r="AD78" s="170">
        <v>3.673499027661542E-2</v>
      </c>
      <c r="AE78" s="170">
        <v>3.0381245945472424E-2</v>
      </c>
      <c r="AF78" s="170">
        <v>3.3553235685751304E-2</v>
      </c>
    </row>
    <row r="79" spans="2:32" x14ac:dyDescent="0.3">
      <c r="B79" s="1" t="s">
        <v>57</v>
      </c>
      <c r="C79" s="1" t="s">
        <v>27</v>
      </c>
      <c r="D79" s="1" t="s">
        <v>22</v>
      </c>
      <c r="E79" s="1" t="s">
        <v>50</v>
      </c>
      <c r="F79" s="5" t="str">
        <f t="shared" si="0"/>
        <v>Hospitals - Metro - &lt;$250 mil</v>
      </c>
      <c r="G79" s="168">
        <v>1.4076816941550203E-2</v>
      </c>
      <c r="H79" s="168">
        <v>2.9778791859887119E-2</v>
      </c>
      <c r="I79" s="168">
        <v>2.0867736416394639E-2</v>
      </c>
      <c r="J79" s="168">
        <v>2.4153144033843249E-2</v>
      </c>
      <c r="K79" s="168">
        <v>6.2604382507258749E-2</v>
      </c>
      <c r="L79" s="168">
        <v>1.6311602682259001E-2</v>
      </c>
      <c r="M79" s="168">
        <v>3.3122435797162272E-2</v>
      </c>
      <c r="N79" s="168">
        <v>2.9086139288576795E-2</v>
      </c>
      <c r="O79" s="168">
        <v>3.9402768279161858E-2</v>
      </c>
      <c r="P79" s="168">
        <v>2.6107494299619949E-2</v>
      </c>
      <c r="Q79" s="168">
        <v>6.9598219468752064E-3</v>
      </c>
      <c r="R79" s="168">
        <v>0.12104347861872797</v>
      </c>
      <c r="S79" s="168">
        <v>6.4928904871829007E-2</v>
      </c>
      <c r="T79" s="169">
        <v>9.0586631203036488E-3</v>
      </c>
      <c r="U79" s="169">
        <v>5.2563061281334207E-2</v>
      </c>
      <c r="V79" s="169">
        <v>4.5663318651012683E-2</v>
      </c>
      <c r="W79" s="169">
        <v>3.6647078244366242E-2</v>
      </c>
      <c r="X79" s="169">
        <v>3.243951392848763E-2</v>
      </c>
      <c r="Y79" s="169">
        <v>3.0754932098502476E-2</v>
      </c>
      <c r="Z79" s="169">
        <v>2.9628777433100707E-2</v>
      </c>
      <c r="AA79" s="169">
        <v>2.8711174869772482E-2</v>
      </c>
      <c r="AB79" s="169">
        <v>2.7948101755392345E-2</v>
      </c>
      <c r="AC79" s="169">
        <v>2.7295648853932011E-2</v>
      </c>
      <c r="AD79" s="170">
        <v>3.5166935968336199E-2</v>
      </c>
      <c r="AE79" s="170">
        <v>2.8866999913577773E-2</v>
      </c>
      <c r="AF79" s="170">
        <v>3.2012160693599911E-2</v>
      </c>
    </row>
    <row r="80" spans="2:32" x14ac:dyDescent="0.3">
      <c r="B80" s="1" t="s">
        <v>57</v>
      </c>
      <c r="C80" s="1" t="s">
        <v>27</v>
      </c>
      <c r="D80" s="1" t="s">
        <v>22</v>
      </c>
      <c r="E80" s="1" t="s">
        <v>51</v>
      </c>
      <c r="F80" s="5" t="str">
        <f t="shared" si="0"/>
        <v>Hospitals - Metro - $250 mil-$500 mil</v>
      </c>
      <c r="G80" s="168">
        <v>1.4076816941550203E-2</v>
      </c>
      <c r="H80" s="168">
        <v>2.9778791859887119E-2</v>
      </c>
      <c r="I80" s="168">
        <v>2.0867736416394639E-2</v>
      </c>
      <c r="J80" s="168">
        <v>2.4153144033843249E-2</v>
      </c>
      <c r="K80" s="168">
        <v>6.2604382507258749E-2</v>
      </c>
      <c r="L80" s="168">
        <v>1.6311602682259001E-2</v>
      </c>
      <c r="M80" s="168">
        <v>3.3122435797162272E-2</v>
      </c>
      <c r="N80" s="168">
        <v>2.9086139288576795E-2</v>
      </c>
      <c r="O80" s="168">
        <v>3.9402768279161858E-2</v>
      </c>
      <c r="P80" s="168">
        <v>2.6107494299619949E-2</v>
      </c>
      <c r="Q80" s="168">
        <v>6.9598219468752064E-3</v>
      </c>
      <c r="R80" s="168">
        <v>0.12104347861872797</v>
      </c>
      <c r="S80" s="168">
        <v>6.4928904871829007E-2</v>
      </c>
      <c r="T80" s="169">
        <v>9.0586631203036488E-3</v>
      </c>
      <c r="U80" s="169">
        <v>5.2563061281334207E-2</v>
      </c>
      <c r="V80" s="169">
        <v>4.5663318651012683E-2</v>
      </c>
      <c r="W80" s="169">
        <v>3.6647078244366242E-2</v>
      </c>
      <c r="X80" s="169">
        <v>3.243951392848763E-2</v>
      </c>
      <c r="Y80" s="169">
        <v>3.0754932098502476E-2</v>
      </c>
      <c r="Z80" s="169">
        <v>2.9628777433100707E-2</v>
      </c>
      <c r="AA80" s="169">
        <v>2.8711174869772482E-2</v>
      </c>
      <c r="AB80" s="169">
        <v>2.7948101755392345E-2</v>
      </c>
      <c r="AC80" s="169">
        <v>2.7295648853932011E-2</v>
      </c>
      <c r="AD80" s="170">
        <v>3.5166935968336199E-2</v>
      </c>
      <c r="AE80" s="170">
        <v>2.8866999913577773E-2</v>
      </c>
      <c r="AF80" s="170">
        <v>3.2012160693599911E-2</v>
      </c>
    </row>
    <row r="81" spans="2:32" x14ac:dyDescent="0.3">
      <c r="B81" s="1" t="s">
        <v>57</v>
      </c>
      <c r="C81" s="1" t="s">
        <v>27</v>
      </c>
      <c r="D81" s="1" t="s">
        <v>22</v>
      </c>
      <c r="E81" s="1" t="s">
        <v>23</v>
      </c>
      <c r="F81" s="5" t="str">
        <f t="shared" si="0"/>
        <v>Hospitals - Metro - $500 mil-$1 bn</v>
      </c>
      <c r="G81" s="168">
        <v>1.4076816941550203E-2</v>
      </c>
      <c r="H81" s="168">
        <v>2.9778791859887119E-2</v>
      </c>
      <c r="I81" s="168">
        <v>2.0867736416394639E-2</v>
      </c>
      <c r="J81" s="168">
        <v>2.4153144033843249E-2</v>
      </c>
      <c r="K81" s="168">
        <v>6.2604382507258749E-2</v>
      </c>
      <c r="L81" s="168">
        <v>1.6311602682259001E-2</v>
      </c>
      <c r="M81" s="168">
        <v>3.3122435797162272E-2</v>
      </c>
      <c r="N81" s="168">
        <v>2.9086139288576795E-2</v>
      </c>
      <c r="O81" s="168">
        <v>3.9402768279161858E-2</v>
      </c>
      <c r="P81" s="168">
        <v>2.6107494299619949E-2</v>
      </c>
      <c r="Q81" s="168">
        <v>6.9598219468752064E-3</v>
      </c>
      <c r="R81" s="168">
        <v>0.12104347861872797</v>
      </c>
      <c r="S81" s="168">
        <v>6.4928904871829007E-2</v>
      </c>
      <c r="T81" s="169">
        <v>9.0586631203036488E-3</v>
      </c>
      <c r="U81" s="169">
        <v>5.2563061281334207E-2</v>
      </c>
      <c r="V81" s="169">
        <v>4.5663318651012683E-2</v>
      </c>
      <c r="W81" s="169">
        <v>3.6647078244366242E-2</v>
      </c>
      <c r="X81" s="169">
        <v>3.243951392848763E-2</v>
      </c>
      <c r="Y81" s="169">
        <v>3.0754932098502476E-2</v>
      </c>
      <c r="Z81" s="169">
        <v>2.9628777433100707E-2</v>
      </c>
      <c r="AA81" s="169">
        <v>2.8711174869772482E-2</v>
      </c>
      <c r="AB81" s="169">
        <v>2.7948101755392345E-2</v>
      </c>
      <c r="AC81" s="169">
        <v>2.7295648853932011E-2</v>
      </c>
      <c r="AD81" s="170">
        <v>3.5166935968336199E-2</v>
      </c>
      <c r="AE81" s="170">
        <v>2.8866999913577773E-2</v>
      </c>
      <c r="AF81" s="170">
        <v>3.2012160693599911E-2</v>
      </c>
    </row>
    <row r="82" spans="2:32" x14ac:dyDescent="0.3">
      <c r="B82" s="1" t="s">
        <v>57</v>
      </c>
      <c r="C82" s="1" t="s">
        <v>27</v>
      </c>
      <c r="D82" s="1" t="s">
        <v>22</v>
      </c>
      <c r="E82" s="1" t="s">
        <v>52</v>
      </c>
      <c r="F82" s="5" t="str">
        <f t="shared" ref="F82:F108" si="1">_xlfn.CONCAT(C82, " - ", D82, " - ",E82)</f>
        <v>Hospitals - Metro - $1 bn-$5 bn</v>
      </c>
      <c r="G82" s="168">
        <v>1.4076816941550203E-2</v>
      </c>
      <c r="H82" s="168">
        <v>2.9778791859887119E-2</v>
      </c>
      <c r="I82" s="168">
        <v>2.0867736416394639E-2</v>
      </c>
      <c r="J82" s="168">
        <v>2.4153144033843249E-2</v>
      </c>
      <c r="K82" s="168">
        <v>6.2604382507258749E-2</v>
      </c>
      <c r="L82" s="168">
        <v>1.6311602682259001E-2</v>
      </c>
      <c r="M82" s="168">
        <v>3.3122435797162272E-2</v>
      </c>
      <c r="N82" s="168">
        <v>2.9086139288576795E-2</v>
      </c>
      <c r="O82" s="168">
        <v>3.9402768279161858E-2</v>
      </c>
      <c r="P82" s="168">
        <v>2.6107494299619949E-2</v>
      </c>
      <c r="Q82" s="168">
        <v>6.9598219468752064E-3</v>
      </c>
      <c r="R82" s="168">
        <v>0.12104347861872797</v>
      </c>
      <c r="S82" s="168">
        <v>6.4928904871829007E-2</v>
      </c>
      <c r="T82" s="169">
        <v>9.0586631203036488E-3</v>
      </c>
      <c r="U82" s="169">
        <v>5.2563061281334207E-2</v>
      </c>
      <c r="V82" s="169">
        <v>4.5663318651012683E-2</v>
      </c>
      <c r="W82" s="169">
        <v>3.6647078244366242E-2</v>
      </c>
      <c r="X82" s="169">
        <v>3.243951392848763E-2</v>
      </c>
      <c r="Y82" s="169">
        <v>3.0754932098502476E-2</v>
      </c>
      <c r="Z82" s="169">
        <v>2.9628777433100707E-2</v>
      </c>
      <c r="AA82" s="169">
        <v>2.8711174869772482E-2</v>
      </c>
      <c r="AB82" s="169">
        <v>2.7948101755392345E-2</v>
      </c>
      <c r="AC82" s="169">
        <v>2.7295648853932011E-2</v>
      </c>
      <c r="AD82" s="170">
        <v>3.5166935968336199E-2</v>
      </c>
      <c r="AE82" s="170">
        <v>2.8866999913577773E-2</v>
      </c>
      <c r="AF82" s="170">
        <v>3.2012160693599911E-2</v>
      </c>
    </row>
    <row r="83" spans="2:32" x14ac:dyDescent="0.3">
      <c r="B83" s="1" t="s">
        <v>57</v>
      </c>
      <c r="C83" s="1" t="s">
        <v>27</v>
      </c>
      <c r="D83" s="1" t="s">
        <v>22</v>
      </c>
      <c r="E83" s="1" t="s">
        <v>28</v>
      </c>
      <c r="F83" s="5" t="str">
        <f t="shared" si="1"/>
        <v>Hospitals - Metro - &gt;$5 bn</v>
      </c>
      <c r="G83" s="168">
        <v>1.4076816941550203E-2</v>
      </c>
      <c r="H83" s="168">
        <v>2.9778791859887119E-2</v>
      </c>
      <c r="I83" s="168">
        <v>2.0867736416394639E-2</v>
      </c>
      <c r="J83" s="168">
        <v>2.4153144033843249E-2</v>
      </c>
      <c r="K83" s="168">
        <v>6.2604382507258749E-2</v>
      </c>
      <c r="L83" s="168">
        <v>1.6311602682259001E-2</v>
      </c>
      <c r="M83" s="168">
        <v>3.3122435797162272E-2</v>
      </c>
      <c r="N83" s="168">
        <v>2.9086139288576795E-2</v>
      </c>
      <c r="O83" s="168">
        <v>3.9402768279161858E-2</v>
      </c>
      <c r="P83" s="168">
        <v>2.6107494299619949E-2</v>
      </c>
      <c r="Q83" s="168">
        <v>6.9598219468752064E-3</v>
      </c>
      <c r="R83" s="168">
        <v>0.12104347861872797</v>
      </c>
      <c r="S83" s="168">
        <v>6.4928904871829007E-2</v>
      </c>
      <c r="T83" s="169">
        <v>9.0586631203036488E-3</v>
      </c>
      <c r="U83" s="169">
        <v>5.2563061281334207E-2</v>
      </c>
      <c r="V83" s="169">
        <v>4.5663318651012683E-2</v>
      </c>
      <c r="W83" s="169">
        <v>3.6647078244366242E-2</v>
      </c>
      <c r="X83" s="169">
        <v>3.243951392848763E-2</v>
      </c>
      <c r="Y83" s="169">
        <v>3.0754932098502476E-2</v>
      </c>
      <c r="Z83" s="169">
        <v>2.9628777433100707E-2</v>
      </c>
      <c r="AA83" s="169">
        <v>2.8711174869772482E-2</v>
      </c>
      <c r="AB83" s="169">
        <v>2.7948101755392345E-2</v>
      </c>
      <c r="AC83" s="169">
        <v>2.7295648853932011E-2</v>
      </c>
      <c r="AD83" s="170">
        <v>3.5166935968336199E-2</v>
      </c>
      <c r="AE83" s="170">
        <v>2.8866999913577773E-2</v>
      </c>
      <c r="AF83" s="170">
        <v>3.2012160693599911E-2</v>
      </c>
    </row>
    <row r="84" spans="2:32" x14ac:dyDescent="0.3">
      <c r="B84" s="1" t="s">
        <v>57</v>
      </c>
      <c r="C84" s="1" t="s">
        <v>27</v>
      </c>
      <c r="D84" s="1" t="s">
        <v>53</v>
      </c>
      <c r="E84" s="1" t="s">
        <v>50</v>
      </c>
      <c r="F84" s="5" t="str">
        <f t="shared" si="1"/>
        <v>Hospitals - Regional - &lt;$250 mil</v>
      </c>
      <c r="G84" s="168">
        <v>1.4076816941550203E-2</v>
      </c>
      <c r="H84" s="168">
        <v>2.9778791859887119E-2</v>
      </c>
      <c r="I84" s="168">
        <v>2.0867736416394639E-2</v>
      </c>
      <c r="J84" s="168">
        <v>2.4153144033843249E-2</v>
      </c>
      <c r="K84" s="168">
        <v>6.2604382507258749E-2</v>
      </c>
      <c r="L84" s="168">
        <v>1.6311602682259001E-2</v>
      </c>
      <c r="M84" s="168">
        <v>3.3122435797162272E-2</v>
      </c>
      <c r="N84" s="168">
        <v>2.9086139288576795E-2</v>
      </c>
      <c r="O84" s="168">
        <v>3.9402768279161858E-2</v>
      </c>
      <c r="P84" s="168">
        <v>2.6107494299619949E-2</v>
      </c>
      <c r="Q84" s="168">
        <v>6.9598219468752064E-3</v>
      </c>
      <c r="R84" s="168">
        <v>0.12104347861872797</v>
      </c>
      <c r="S84" s="168">
        <v>6.4928904871829007E-2</v>
      </c>
      <c r="T84" s="169">
        <v>9.0586631203036488E-3</v>
      </c>
      <c r="U84" s="169">
        <v>5.2563061281334207E-2</v>
      </c>
      <c r="V84" s="169">
        <v>4.5663318651012683E-2</v>
      </c>
      <c r="W84" s="169">
        <v>3.6647078244366242E-2</v>
      </c>
      <c r="X84" s="169">
        <v>3.243951392848763E-2</v>
      </c>
      <c r="Y84" s="169">
        <v>3.0754932098502476E-2</v>
      </c>
      <c r="Z84" s="169">
        <v>2.9628777433100707E-2</v>
      </c>
      <c r="AA84" s="169">
        <v>2.8711174869772482E-2</v>
      </c>
      <c r="AB84" s="169">
        <v>2.7948101755392345E-2</v>
      </c>
      <c r="AC84" s="169">
        <v>2.7295648853932011E-2</v>
      </c>
      <c r="AD84" s="170">
        <v>3.5166935968336199E-2</v>
      </c>
      <c r="AE84" s="170">
        <v>2.8866999913577773E-2</v>
      </c>
      <c r="AF84" s="170">
        <v>3.2012160693599911E-2</v>
      </c>
    </row>
    <row r="85" spans="2:32" x14ac:dyDescent="0.3">
      <c r="B85" s="1" t="s">
        <v>57</v>
      </c>
      <c r="C85" s="1" t="s">
        <v>27</v>
      </c>
      <c r="D85" s="1" t="s">
        <v>53</v>
      </c>
      <c r="E85" s="1" t="s">
        <v>51</v>
      </c>
      <c r="F85" s="5" t="str">
        <f t="shared" si="1"/>
        <v>Hospitals - Regional - $250 mil-$500 mil</v>
      </c>
      <c r="G85" s="168">
        <v>1.4076816941550203E-2</v>
      </c>
      <c r="H85" s="168">
        <v>2.9778791859887119E-2</v>
      </c>
      <c r="I85" s="168">
        <v>2.0867736416394639E-2</v>
      </c>
      <c r="J85" s="168">
        <v>2.4153144033843249E-2</v>
      </c>
      <c r="K85" s="168">
        <v>6.2604382507258749E-2</v>
      </c>
      <c r="L85" s="168">
        <v>1.6311602682259001E-2</v>
      </c>
      <c r="M85" s="168">
        <v>3.3122435797162272E-2</v>
      </c>
      <c r="N85" s="168">
        <v>2.9086139288576795E-2</v>
      </c>
      <c r="O85" s="168">
        <v>3.9402768279161858E-2</v>
      </c>
      <c r="P85" s="168">
        <v>2.6107494299619949E-2</v>
      </c>
      <c r="Q85" s="168">
        <v>6.9598219468752064E-3</v>
      </c>
      <c r="R85" s="168">
        <v>0.12104347861872797</v>
      </c>
      <c r="S85" s="168">
        <v>6.4928904871829007E-2</v>
      </c>
      <c r="T85" s="169">
        <v>9.0586631203036488E-3</v>
      </c>
      <c r="U85" s="169">
        <v>5.2563061281334207E-2</v>
      </c>
      <c r="V85" s="169">
        <v>4.5663318651012683E-2</v>
      </c>
      <c r="W85" s="169">
        <v>3.6647078244366242E-2</v>
      </c>
      <c r="X85" s="169">
        <v>3.243951392848763E-2</v>
      </c>
      <c r="Y85" s="169">
        <v>3.0754932098502476E-2</v>
      </c>
      <c r="Z85" s="169">
        <v>2.9628777433100707E-2</v>
      </c>
      <c r="AA85" s="169">
        <v>2.8711174869772482E-2</v>
      </c>
      <c r="AB85" s="169">
        <v>2.7948101755392345E-2</v>
      </c>
      <c r="AC85" s="169">
        <v>2.7295648853932011E-2</v>
      </c>
      <c r="AD85" s="170">
        <v>3.5166935968336199E-2</v>
      </c>
      <c r="AE85" s="170">
        <v>2.8866999913577773E-2</v>
      </c>
      <c r="AF85" s="170">
        <v>3.2012160693599911E-2</v>
      </c>
    </row>
    <row r="86" spans="2:32" x14ac:dyDescent="0.3">
      <c r="B86" s="1" t="s">
        <v>57</v>
      </c>
      <c r="C86" s="1" t="s">
        <v>27</v>
      </c>
      <c r="D86" s="1" t="s">
        <v>53</v>
      </c>
      <c r="E86" s="1" t="s">
        <v>23</v>
      </c>
      <c r="F86" s="5" t="str">
        <f t="shared" si="1"/>
        <v>Hospitals - Regional - $500 mil-$1 bn</v>
      </c>
      <c r="G86" s="168">
        <v>1.4076816941550203E-2</v>
      </c>
      <c r="H86" s="168">
        <v>2.9778791859887119E-2</v>
      </c>
      <c r="I86" s="168">
        <v>2.0867736416394639E-2</v>
      </c>
      <c r="J86" s="168">
        <v>2.4153144033843249E-2</v>
      </c>
      <c r="K86" s="168">
        <v>6.2604382507258749E-2</v>
      </c>
      <c r="L86" s="168">
        <v>1.6311602682259001E-2</v>
      </c>
      <c r="M86" s="168">
        <v>3.3122435797162272E-2</v>
      </c>
      <c r="N86" s="168">
        <v>2.9086139288576795E-2</v>
      </c>
      <c r="O86" s="168">
        <v>3.9402768279161858E-2</v>
      </c>
      <c r="P86" s="168">
        <v>2.6107494299619949E-2</v>
      </c>
      <c r="Q86" s="168">
        <v>6.9598219468752064E-3</v>
      </c>
      <c r="R86" s="168">
        <v>0.12104347861872797</v>
      </c>
      <c r="S86" s="168">
        <v>6.4928904871829007E-2</v>
      </c>
      <c r="T86" s="169">
        <v>9.0586631203036488E-3</v>
      </c>
      <c r="U86" s="169">
        <v>5.2563061281334207E-2</v>
      </c>
      <c r="V86" s="169">
        <v>4.5663318651012683E-2</v>
      </c>
      <c r="W86" s="169">
        <v>3.6647078244366242E-2</v>
      </c>
      <c r="X86" s="169">
        <v>3.243951392848763E-2</v>
      </c>
      <c r="Y86" s="169">
        <v>3.0754932098502476E-2</v>
      </c>
      <c r="Z86" s="169">
        <v>2.9628777433100707E-2</v>
      </c>
      <c r="AA86" s="169">
        <v>2.8711174869772482E-2</v>
      </c>
      <c r="AB86" s="169">
        <v>2.7948101755392345E-2</v>
      </c>
      <c r="AC86" s="169">
        <v>2.7295648853932011E-2</v>
      </c>
      <c r="AD86" s="170">
        <v>3.5166935968336199E-2</v>
      </c>
      <c r="AE86" s="170">
        <v>2.8866999913577773E-2</v>
      </c>
      <c r="AF86" s="170">
        <v>3.2012160693599911E-2</v>
      </c>
    </row>
    <row r="87" spans="2:32" x14ac:dyDescent="0.3">
      <c r="B87" s="1" t="s">
        <v>57</v>
      </c>
      <c r="C87" s="1" t="s">
        <v>27</v>
      </c>
      <c r="D87" s="1" t="s">
        <v>53</v>
      </c>
      <c r="E87" s="1" t="s">
        <v>52</v>
      </c>
      <c r="F87" s="5" t="str">
        <f t="shared" si="1"/>
        <v>Hospitals - Regional - $1 bn-$5 bn</v>
      </c>
      <c r="G87" s="168">
        <v>1.4076816941550203E-2</v>
      </c>
      <c r="H87" s="168">
        <v>2.9778791859887119E-2</v>
      </c>
      <c r="I87" s="168">
        <v>2.0867736416394639E-2</v>
      </c>
      <c r="J87" s="168">
        <v>2.4153144033843249E-2</v>
      </c>
      <c r="K87" s="168">
        <v>6.2604382507258749E-2</v>
      </c>
      <c r="L87" s="168">
        <v>1.6311602682259001E-2</v>
      </c>
      <c r="M87" s="168">
        <v>3.3122435797162272E-2</v>
      </c>
      <c r="N87" s="168">
        <v>2.9086139288576795E-2</v>
      </c>
      <c r="O87" s="168">
        <v>3.9402768279161858E-2</v>
      </c>
      <c r="P87" s="168">
        <v>2.6107494299619949E-2</v>
      </c>
      <c r="Q87" s="168">
        <v>6.9598219468752064E-3</v>
      </c>
      <c r="R87" s="168">
        <v>0.12104347861872797</v>
      </c>
      <c r="S87" s="168">
        <v>6.4928904871829007E-2</v>
      </c>
      <c r="T87" s="169">
        <v>9.0586631203036488E-3</v>
      </c>
      <c r="U87" s="169">
        <v>5.2563061281334207E-2</v>
      </c>
      <c r="V87" s="169">
        <v>4.5663318651012683E-2</v>
      </c>
      <c r="W87" s="169">
        <v>3.6647078244366242E-2</v>
      </c>
      <c r="X87" s="169">
        <v>3.243951392848763E-2</v>
      </c>
      <c r="Y87" s="169">
        <v>3.0754932098502476E-2</v>
      </c>
      <c r="Z87" s="169">
        <v>2.9628777433100707E-2</v>
      </c>
      <c r="AA87" s="169">
        <v>2.8711174869772482E-2</v>
      </c>
      <c r="AB87" s="169">
        <v>2.7948101755392345E-2</v>
      </c>
      <c r="AC87" s="169">
        <v>2.7295648853932011E-2</v>
      </c>
      <c r="AD87" s="170">
        <v>3.5166935968336199E-2</v>
      </c>
      <c r="AE87" s="170">
        <v>2.8866999913577773E-2</v>
      </c>
      <c r="AF87" s="170">
        <v>3.2012160693599911E-2</v>
      </c>
    </row>
    <row r="88" spans="2:32" x14ac:dyDescent="0.3">
      <c r="B88" s="1" t="s">
        <v>57</v>
      </c>
      <c r="C88" s="1" t="s">
        <v>27</v>
      </c>
      <c r="D88" s="1" t="s">
        <v>53</v>
      </c>
      <c r="E88" s="1" t="s">
        <v>28</v>
      </c>
      <c r="F88" s="5" t="str">
        <f t="shared" si="1"/>
        <v>Hospitals - Regional - &gt;$5 bn</v>
      </c>
      <c r="G88" s="168">
        <v>1.4076816941550203E-2</v>
      </c>
      <c r="H88" s="168">
        <v>2.9778791859887119E-2</v>
      </c>
      <c r="I88" s="168">
        <v>2.0867736416394639E-2</v>
      </c>
      <c r="J88" s="168">
        <v>2.4153144033843249E-2</v>
      </c>
      <c r="K88" s="168">
        <v>6.2604382507258749E-2</v>
      </c>
      <c r="L88" s="168">
        <v>1.6311602682259001E-2</v>
      </c>
      <c r="M88" s="168">
        <v>3.3122435797162272E-2</v>
      </c>
      <c r="N88" s="168">
        <v>2.9086139288576795E-2</v>
      </c>
      <c r="O88" s="168">
        <v>3.9402768279161858E-2</v>
      </c>
      <c r="P88" s="168">
        <v>2.6107494299619949E-2</v>
      </c>
      <c r="Q88" s="168">
        <v>6.9598219468752064E-3</v>
      </c>
      <c r="R88" s="168">
        <v>0.12104347861872797</v>
      </c>
      <c r="S88" s="168">
        <v>6.4928904871829007E-2</v>
      </c>
      <c r="T88" s="169">
        <v>9.0586631203036488E-3</v>
      </c>
      <c r="U88" s="169">
        <v>5.2563061281334207E-2</v>
      </c>
      <c r="V88" s="169">
        <v>4.5663318651012683E-2</v>
      </c>
      <c r="W88" s="169">
        <v>3.6647078244366242E-2</v>
      </c>
      <c r="X88" s="169">
        <v>3.243951392848763E-2</v>
      </c>
      <c r="Y88" s="169">
        <v>3.0754932098502476E-2</v>
      </c>
      <c r="Z88" s="169">
        <v>2.9628777433100707E-2</v>
      </c>
      <c r="AA88" s="169">
        <v>2.8711174869772482E-2</v>
      </c>
      <c r="AB88" s="169">
        <v>2.7948101755392345E-2</v>
      </c>
      <c r="AC88" s="169">
        <v>2.7295648853932011E-2</v>
      </c>
      <c r="AD88" s="170">
        <v>3.5166935968336199E-2</v>
      </c>
      <c r="AE88" s="170">
        <v>2.8866999913577773E-2</v>
      </c>
      <c r="AF88" s="170">
        <v>3.2012160693599911E-2</v>
      </c>
    </row>
    <row r="89" spans="2:32" x14ac:dyDescent="0.3">
      <c r="B89" s="1" t="s">
        <v>57</v>
      </c>
      <c r="C89" s="1" t="s">
        <v>61</v>
      </c>
      <c r="D89" s="1" t="s">
        <v>22</v>
      </c>
      <c r="E89" s="1" t="s">
        <v>50</v>
      </c>
      <c r="F89" s="5" t="str">
        <f t="shared" si="1"/>
        <v>Schools - Metro - &lt;$250 mil</v>
      </c>
      <c r="G89" s="168">
        <v>2.2606828962930578E-2</v>
      </c>
      <c r="H89" s="168">
        <v>2.8493690879967681E-2</v>
      </c>
      <c r="I89" s="168">
        <v>2.2828697005035217E-2</v>
      </c>
      <c r="J89" s="168">
        <v>2.827587973832054E-2</v>
      </c>
      <c r="K89" s="168">
        <v>5.044262761247794E-2</v>
      </c>
      <c r="L89" s="168">
        <v>2.0058938639802404E-2</v>
      </c>
      <c r="M89" s="168">
        <v>3.2659670276282617E-2</v>
      </c>
      <c r="N89" s="168">
        <v>3.691589650153744E-2</v>
      </c>
      <c r="O89" s="168">
        <v>3.6084131961943239E-2</v>
      </c>
      <c r="P89" s="168">
        <v>2.2716203495822644E-2</v>
      </c>
      <c r="Q89" s="168">
        <v>1.9249244104380184E-2</v>
      </c>
      <c r="R89" s="168">
        <v>0.10585488327730196</v>
      </c>
      <c r="S89" s="168">
        <v>5.4283926850216553E-2</v>
      </c>
      <c r="T89" s="169">
        <v>1.4976357446754988E-2</v>
      </c>
      <c r="U89" s="169">
        <v>5.074913801784265E-2</v>
      </c>
      <c r="V89" s="169">
        <v>4.4534011640454736E-2</v>
      </c>
      <c r="W89" s="169">
        <v>3.6539588738191318E-2</v>
      </c>
      <c r="X89" s="169">
        <v>3.3116143562923417E-2</v>
      </c>
      <c r="Y89" s="169">
        <v>3.1880470354376134E-2</v>
      </c>
      <c r="Z89" s="169">
        <v>3.0937290235913829E-2</v>
      </c>
      <c r="AA89" s="169">
        <v>3.0053197645352261E-2</v>
      </c>
      <c r="AB89" s="169">
        <v>2.93320556065883E-2</v>
      </c>
      <c r="AC89" s="169">
        <v>2.8742068612693739E-2</v>
      </c>
      <c r="AD89" s="170">
        <v>3.5911177665787442E-2</v>
      </c>
      <c r="AE89" s="170">
        <v>3.0188408215458873E-2</v>
      </c>
      <c r="AF89" s="170">
        <v>3.3045830141199106E-2</v>
      </c>
    </row>
    <row r="90" spans="2:32" x14ac:dyDescent="0.3">
      <c r="B90" s="1" t="s">
        <v>57</v>
      </c>
      <c r="C90" s="1" t="s">
        <v>61</v>
      </c>
      <c r="D90" s="1" t="s">
        <v>22</v>
      </c>
      <c r="E90" s="1" t="s">
        <v>51</v>
      </c>
      <c r="F90" s="5" t="str">
        <f t="shared" si="1"/>
        <v>Schools - Metro - $250 mil-$500 mil</v>
      </c>
      <c r="G90" s="168">
        <v>2.2606828962930578E-2</v>
      </c>
      <c r="H90" s="168">
        <v>2.8493690879967681E-2</v>
      </c>
      <c r="I90" s="168">
        <v>2.2828697005035217E-2</v>
      </c>
      <c r="J90" s="168">
        <v>2.827587973832054E-2</v>
      </c>
      <c r="K90" s="168">
        <v>5.044262761247794E-2</v>
      </c>
      <c r="L90" s="168">
        <v>2.0058938639802404E-2</v>
      </c>
      <c r="M90" s="168">
        <v>3.2659670276282617E-2</v>
      </c>
      <c r="N90" s="168">
        <v>3.691589650153744E-2</v>
      </c>
      <c r="O90" s="168">
        <v>3.6084131961943239E-2</v>
      </c>
      <c r="P90" s="168">
        <v>2.2716203495822644E-2</v>
      </c>
      <c r="Q90" s="168">
        <v>1.9249244104380184E-2</v>
      </c>
      <c r="R90" s="168">
        <v>0.10585488327730196</v>
      </c>
      <c r="S90" s="168">
        <v>5.4283926850216553E-2</v>
      </c>
      <c r="T90" s="169">
        <v>1.4976357446754988E-2</v>
      </c>
      <c r="U90" s="169">
        <v>5.074913801784265E-2</v>
      </c>
      <c r="V90" s="169">
        <v>4.4534011640454736E-2</v>
      </c>
      <c r="W90" s="169">
        <v>3.6539588738191318E-2</v>
      </c>
      <c r="X90" s="169">
        <v>3.3116143562923417E-2</v>
      </c>
      <c r="Y90" s="169">
        <v>3.1880470354376134E-2</v>
      </c>
      <c r="Z90" s="169">
        <v>3.0937290235913829E-2</v>
      </c>
      <c r="AA90" s="169">
        <v>3.0053197645352261E-2</v>
      </c>
      <c r="AB90" s="169">
        <v>2.93320556065883E-2</v>
      </c>
      <c r="AC90" s="169">
        <v>2.8742068612693739E-2</v>
      </c>
      <c r="AD90" s="170">
        <v>3.5911177665787442E-2</v>
      </c>
      <c r="AE90" s="170">
        <v>3.0188408215458873E-2</v>
      </c>
      <c r="AF90" s="170">
        <v>3.3045830141199106E-2</v>
      </c>
    </row>
    <row r="91" spans="2:32" x14ac:dyDescent="0.3">
      <c r="B91" s="1" t="s">
        <v>57</v>
      </c>
      <c r="C91" s="1" t="s">
        <v>61</v>
      </c>
      <c r="D91" s="1" t="s">
        <v>22</v>
      </c>
      <c r="E91" s="1" t="s">
        <v>23</v>
      </c>
      <c r="F91" s="5" t="str">
        <f t="shared" si="1"/>
        <v>Schools - Metro - $500 mil-$1 bn</v>
      </c>
      <c r="G91" s="168">
        <v>2.2606828962930578E-2</v>
      </c>
      <c r="H91" s="168">
        <v>2.8493690879967681E-2</v>
      </c>
      <c r="I91" s="168">
        <v>2.2828697005035217E-2</v>
      </c>
      <c r="J91" s="168">
        <v>2.827587973832054E-2</v>
      </c>
      <c r="K91" s="168">
        <v>5.044262761247794E-2</v>
      </c>
      <c r="L91" s="168">
        <v>2.0058938639802404E-2</v>
      </c>
      <c r="M91" s="168">
        <v>3.2659670276282617E-2</v>
      </c>
      <c r="N91" s="168">
        <v>3.691589650153744E-2</v>
      </c>
      <c r="O91" s="168">
        <v>3.6084131961943239E-2</v>
      </c>
      <c r="P91" s="168">
        <v>2.2716203495822644E-2</v>
      </c>
      <c r="Q91" s="168">
        <v>1.9249244104380184E-2</v>
      </c>
      <c r="R91" s="168">
        <v>0.10585488327730196</v>
      </c>
      <c r="S91" s="168">
        <v>5.4283926850216553E-2</v>
      </c>
      <c r="T91" s="169">
        <v>1.4976357446754988E-2</v>
      </c>
      <c r="U91" s="169">
        <v>5.074913801784265E-2</v>
      </c>
      <c r="V91" s="169">
        <v>4.4534011640454736E-2</v>
      </c>
      <c r="W91" s="169">
        <v>3.6539588738191318E-2</v>
      </c>
      <c r="X91" s="169">
        <v>3.3116143562923417E-2</v>
      </c>
      <c r="Y91" s="169">
        <v>3.1880470354376134E-2</v>
      </c>
      <c r="Z91" s="169">
        <v>3.0937290235913829E-2</v>
      </c>
      <c r="AA91" s="169">
        <v>3.0053197645352261E-2</v>
      </c>
      <c r="AB91" s="169">
        <v>2.93320556065883E-2</v>
      </c>
      <c r="AC91" s="169">
        <v>2.8742068612693739E-2</v>
      </c>
      <c r="AD91" s="170">
        <v>3.5911177665787442E-2</v>
      </c>
      <c r="AE91" s="170">
        <v>3.0188408215458873E-2</v>
      </c>
      <c r="AF91" s="170">
        <v>3.3045830141199106E-2</v>
      </c>
    </row>
    <row r="92" spans="2:32" x14ac:dyDescent="0.3">
      <c r="B92" s="1" t="s">
        <v>57</v>
      </c>
      <c r="C92" s="1" t="s">
        <v>61</v>
      </c>
      <c r="D92" s="1" t="s">
        <v>22</v>
      </c>
      <c r="E92" s="1" t="s">
        <v>52</v>
      </c>
      <c r="F92" s="5" t="str">
        <f t="shared" si="1"/>
        <v>Schools - Metro - $1 bn-$5 bn</v>
      </c>
      <c r="G92" s="168">
        <v>2.2606828962930578E-2</v>
      </c>
      <c r="H92" s="168">
        <v>2.8493690879967681E-2</v>
      </c>
      <c r="I92" s="168">
        <v>2.2828697005035217E-2</v>
      </c>
      <c r="J92" s="168">
        <v>2.827587973832054E-2</v>
      </c>
      <c r="K92" s="168">
        <v>5.044262761247794E-2</v>
      </c>
      <c r="L92" s="168">
        <v>2.0058938639802404E-2</v>
      </c>
      <c r="M92" s="168">
        <v>3.2659670276282617E-2</v>
      </c>
      <c r="N92" s="168">
        <v>3.691589650153744E-2</v>
      </c>
      <c r="O92" s="168">
        <v>3.6084131961943239E-2</v>
      </c>
      <c r="P92" s="168">
        <v>2.2716203495822644E-2</v>
      </c>
      <c r="Q92" s="168">
        <v>1.9249244104380184E-2</v>
      </c>
      <c r="R92" s="168">
        <v>0.10585488327730196</v>
      </c>
      <c r="S92" s="168">
        <v>5.4283926850216553E-2</v>
      </c>
      <c r="T92" s="169">
        <v>1.4976357446754988E-2</v>
      </c>
      <c r="U92" s="169">
        <v>5.074913801784265E-2</v>
      </c>
      <c r="V92" s="169">
        <v>4.4534011640454736E-2</v>
      </c>
      <c r="W92" s="169">
        <v>3.6539588738191318E-2</v>
      </c>
      <c r="X92" s="169">
        <v>3.3116143562923417E-2</v>
      </c>
      <c r="Y92" s="169">
        <v>3.1880470354376134E-2</v>
      </c>
      <c r="Z92" s="169">
        <v>3.0937290235913829E-2</v>
      </c>
      <c r="AA92" s="169">
        <v>3.0053197645352261E-2</v>
      </c>
      <c r="AB92" s="169">
        <v>2.93320556065883E-2</v>
      </c>
      <c r="AC92" s="169">
        <v>2.8742068612693739E-2</v>
      </c>
      <c r="AD92" s="170">
        <v>3.5911177665787442E-2</v>
      </c>
      <c r="AE92" s="170">
        <v>3.0188408215458873E-2</v>
      </c>
      <c r="AF92" s="170">
        <v>3.3045830141199106E-2</v>
      </c>
    </row>
    <row r="93" spans="2:32" x14ac:dyDescent="0.3">
      <c r="B93" s="1" t="s">
        <v>57</v>
      </c>
      <c r="C93" s="1" t="s">
        <v>61</v>
      </c>
      <c r="D93" s="1" t="s">
        <v>22</v>
      </c>
      <c r="E93" s="1" t="s">
        <v>28</v>
      </c>
      <c r="F93" s="5" t="str">
        <f t="shared" si="1"/>
        <v>Schools - Metro - &gt;$5 bn</v>
      </c>
      <c r="G93" s="168">
        <v>2.2606828962930578E-2</v>
      </c>
      <c r="H93" s="168">
        <v>2.8493690879967681E-2</v>
      </c>
      <c r="I93" s="168">
        <v>2.2828697005035217E-2</v>
      </c>
      <c r="J93" s="168">
        <v>2.827587973832054E-2</v>
      </c>
      <c r="K93" s="168">
        <v>5.044262761247794E-2</v>
      </c>
      <c r="L93" s="168">
        <v>2.0058938639802404E-2</v>
      </c>
      <c r="M93" s="168">
        <v>3.2659670276282617E-2</v>
      </c>
      <c r="N93" s="168">
        <v>3.691589650153744E-2</v>
      </c>
      <c r="O93" s="168">
        <v>3.6084131961943239E-2</v>
      </c>
      <c r="P93" s="168">
        <v>2.2716203495822644E-2</v>
      </c>
      <c r="Q93" s="168">
        <v>1.9249244104380184E-2</v>
      </c>
      <c r="R93" s="168">
        <v>0.10585488327730196</v>
      </c>
      <c r="S93" s="168">
        <v>5.4283926850216553E-2</v>
      </c>
      <c r="T93" s="169">
        <v>1.4976357446754988E-2</v>
      </c>
      <c r="U93" s="169">
        <v>5.074913801784265E-2</v>
      </c>
      <c r="V93" s="169">
        <v>4.4534011640454736E-2</v>
      </c>
      <c r="W93" s="169">
        <v>3.6539588738191318E-2</v>
      </c>
      <c r="X93" s="169">
        <v>3.3116143562923417E-2</v>
      </c>
      <c r="Y93" s="169">
        <v>3.1880470354376134E-2</v>
      </c>
      <c r="Z93" s="169">
        <v>3.0937290235913829E-2</v>
      </c>
      <c r="AA93" s="169">
        <v>3.0053197645352261E-2</v>
      </c>
      <c r="AB93" s="169">
        <v>2.93320556065883E-2</v>
      </c>
      <c r="AC93" s="169">
        <v>2.8742068612693739E-2</v>
      </c>
      <c r="AD93" s="170">
        <v>3.5911177665787442E-2</v>
      </c>
      <c r="AE93" s="170">
        <v>3.0188408215458873E-2</v>
      </c>
      <c r="AF93" s="170">
        <v>3.3045830141199106E-2</v>
      </c>
    </row>
    <row r="94" spans="2:32" x14ac:dyDescent="0.3">
      <c r="B94" s="1" t="s">
        <v>57</v>
      </c>
      <c r="C94" s="1" t="s">
        <v>61</v>
      </c>
      <c r="D94" s="1" t="s">
        <v>53</v>
      </c>
      <c r="E94" s="1" t="s">
        <v>50</v>
      </c>
      <c r="F94" s="5" t="str">
        <f t="shared" si="1"/>
        <v>Schools - Regional - &lt;$250 mil</v>
      </c>
      <c r="G94" s="168">
        <v>2.2606828962930578E-2</v>
      </c>
      <c r="H94" s="168">
        <v>2.8493690879967681E-2</v>
      </c>
      <c r="I94" s="168">
        <v>2.2828697005035217E-2</v>
      </c>
      <c r="J94" s="168">
        <v>2.827587973832054E-2</v>
      </c>
      <c r="K94" s="168">
        <v>5.044262761247794E-2</v>
      </c>
      <c r="L94" s="168">
        <v>2.0058938639802404E-2</v>
      </c>
      <c r="M94" s="168">
        <v>3.2659670276282617E-2</v>
      </c>
      <c r="N94" s="168">
        <v>3.691589650153744E-2</v>
      </c>
      <c r="O94" s="168">
        <v>3.6084131961943239E-2</v>
      </c>
      <c r="P94" s="168">
        <v>2.2716203495822644E-2</v>
      </c>
      <c r="Q94" s="168">
        <v>1.9249244104380184E-2</v>
      </c>
      <c r="R94" s="168">
        <v>0.10585488327730196</v>
      </c>
      <c r="S94" s="168">
        <v>5.4283926850216553E-2</v>
      </c>
      <c r="T94" s="169">
        <v>1.4976357446754988E-2</v>
      </c>
      <c r="U94" s="169">
        <v>5.074913801784265E-2</v>
      </c>
      <c r="V94" s="169">
        <v>4.4534011640454736E-2</v>
      </c>
      <c r="W94" s="169">
        <v>3.6539588738191318E-2</v>
      </c>
      <c r="X94" s="169">
        <v>3.3116143562923417E-2</v>
      </c>
      <c r="Y94" s="169">
        <v>3.1880470354376134E-2</v>
      </c>
      <c r="Z94" s="169">
        <v>3.0937290235913829E-2</v>
      </c>
      <c r="AA94" s="169">
        <v>3.0053197645352261E-2</v>
      </c>
      <c r="AB94" s="169">
        <v>2.93320556065883E-2</v>
      </c>
      <c r="AC94" s="169">
        <v>2.8742068612693739E-2</v>
      </c>
      <c r="AD94" s="170">
        <v>3.5911177665787442E-2</v>
      </c>
      <c r="AE94" s="170">
        <v>3.0188408215458873E-2</v>
      </c>
      <c r="AF94" s="170">
        <v>3.3045830141199106E-2</v>
      </c>
    </row>
    <row r="95" spans="2:32" x14ac:dyDescent="0.3">
      <c r="B95" s="1" t="s">
        <v>57</v>
      </c>
      <c r="C95" s="1" t="s">
        <v>61</v>
      </c>
      <c r="D95" s="1" t="s">
        <v>53</v>
      </c>
      <c r="E95" s="1" t="s">
        <v>51</v>
      </c>
      <c r="F95" s="5" t="str">
        <f t="shared" si="1"/>
        <v>Schools - Regional - $250 mil-$500 mil</v>
      </c>
      <c r="G95" s="168">
        <v>2.2606828962930578E-2</v>
      </c>
      <c r="H95" s="168">
        <v>2.8493690879967681E-2</v>
      </c>
      <c r="I95" s="168">
        <v>2.2828697005035217E-2</v>
      </c>
      <c r="J95" s="168">
        <v>2.827587973832054E-2</v>
      </c>
      <c r="K95" s="168">
        <v>5.044262761247794E-2</v>
      </c>
      <c r="L95" s="168">
        <v>2.0058938639802404E-2</v>
      </c>
      <c r="M95" s="168">
        <v>3.2659670276282617E-2</v>
      </c>
      <c r="N95" s="168">
        <v>3.691589650153744E-2</v>
      </c>
      <c r="O95" s="168">
        <v>3.6084131961943239E-2</v>
      </c>
      <c r="P95" s="168">
        <v>2.2716203495822644E-2</v>
      </c>
      <c r="Q95" s="168">
        <v>1.9249244104380184E-2</v>
      </c>
      <c r="R95" s="168">
        <v>0.10585488327730196</v>
      </c>
      <c r="S95" s="168">
        <v>5.4283926850216553E-2</v>
      </c>
      <c r="T95" s="169">
        <v>1.4976357446754988E-2</v>
      </c>
      <c r="U95" s="169">
        <v>5.074913801784265E-2</v>
      </c>
      <c r="V95" s="169">
        <v>4.4534011640454736E-2</v>
      </c>
      <c r="W95" s="169">
        <v>3.6539588738191318E-2</v>
      </c>
      <c r="X95" s="169">
        <v>3.3116143562923417E-2</v>
      </c>
      <c r="Y95" s="169">
        <v>3.1880470354376134E-2</v>
      </c>
      <c r="Z95" s="169">
        <v>3.0937290235913829E-2</v>
      </c>
      <c r="AA95" s="169">
        <v>3.0053197645352261E-2</v>
      </c>
      <c r="AB95" s="169">
        <v>2.93320556065883E-2</v>
      </c>
      <c r="AC95" s="169">
        <v>2.8742068612693739E-2</v>
      </c>
      <c r="AD95" s="170">
        <v>3.5911177665787442E-2</v>
      </c>
      <c r="AE95" s="170">
        <v>3.0188408215458873E-2</v>
      </c>
      <c r="AF95" s="170">
        <v>3.3045830141199106E-2</v>
      </c>
    </row>
    <row r="96" spans="2:32" x14ac:dyDescent="0.3">
      <c r="B96" s="1" t="s">
        <v>57</v>
      </c>
      <c r="C96" s="1" t="s">
        <v>61</v>
      </c>
      <c r="D96" s="1" t="s">
        <v>53</v>
      </c>
      <c r="E96" s="1" t="s">
        <v>23</v>
      </c>
      <c r="F96" s="5" t="str">
        <f t="shared" si="1"/>
        <v>Schools - Regional - $500 mil-$1 bn</v>
      </c>
      <c r="G96" s="168">
        <v>2.2606828962930578E-2</v>
      </c>
      <c r="H96" s="168">
        <v>2.8493690879967681E-2</v>
      </c>
      <c r="I96" s="168">
        <v>2.2828697005035217E-2</v>
      </c>
      <c r="J96" s="168">
        <v>2.827587973832054E-2</v>
      </c>
      <c r="K96" s="168">
        <v>5.044262761247794E-2</v>
      </c>
      <c r="L96" s="168">
        <v>2.0058938639802404E-2</v>
      </c>
      <c r="M96" s="168">
        <v>3.2659670276282617E-2</v>
      </c>
      <c r="N96" s="168">
        <v>3.691589650153744E-2</v>
      </c>
      <c r="O96" s="168">
        <v>3.6084131961943239E-2</v>
      </c>
      <c r="P96" s="168">
        <v>2.2716203495822644E-2</v>
      </c>
      <c r="Q96" s="168">
        <v>1.9249244104380184E-2</v>
      </c>
      <c r="R96" s="168">
        <v>0.10585488327730196</v>
      </c>
      <c r="S96" s="168">
        <v>5.4283926850216553E-2</v>
      </c>
      <c r="T96" s="169">
        <v>1.4976357446754988E-2</v>
      </c>
      <c r="U96" s="169">
        <v>5.074913801784265E-2</v>
      </c>
      <c r="V96" s="169">
        <v>4.4534011640454736E-2</v>
      </c>
      <c r="W96" s="169">
        <v>3.6539588738191318E-2</v>
      </c>
      <c r="X96" s="169">
        <v>3.3116143562923417E-2</v>
      </c>
      <c r="Y96" s="169">
        <v>3.1880470354376134E-2</v>
      </c>
      <c r="Z96" s="169">
        <v>3.0937290235913829E-2</v>
      </c>
      <c r="AA96" s="169">
        <v>3.0053197645352261E-2</v>
      </c>
      <c r="AB96" s="169">
        <v>2.93320556065883E-2</v>
      </c>
      <c r="AC96" s="169">
        <v>2.8742068612693739E-2</v>
      </c>
      <c r="AD96" s="170">
        <v>3.5911177665787442E-2</v>
      </c>
      <c r="AE96" s="170">
        <v>3.0188408215458873E-2</v>
      </c>
      <c r="AF96" s="170">
        <v>3.3045830141199106E-2</v>
      </c>
    </row>
    <row r="97" spans="2:32" x14ac:dyDescent="0.3">
      <c r="B97" s="1" t="s">
        <v>57</v>
      </c>
      <c r="C97" s="1" t="s">
        <v>61</v>
      </c>
      <c r="D97" s="1" t="s">
        <v>53</v>
      </c>
      <c r="E97" s="1" t="s">
        <v>52</v>
      </c>
      <c r="F97" s="5" t="str">
        <f t="shared" si="1"/>
        <v>Schools - Regional - $1 bn-$5 bn</v>
      </c>
      <c r="G97" s="168">
        <v>2.2606828962930578E-2</v>
      </c>
      <c r="H97" s="168">
        <v>2.8493690879967681E-2</v>
      </c>
      <c r="I97" s="168">
        <v>2.2828697005035217E-2</v>
      </c>
      <c r="J97" s="168">
        <v>2.827587973832054E-2</v>
      </c>
      <c r="K97" s="168">
        <v>5.044262761247794E-2</v>
      </c>
      <c r="L97" s="168">
        <v>2.0058938639802404E-2</v>
      </c>
      <c r="M97" s="168">
        <v>3.2659670276282617E-2</v>
      </c>
      <c r="N97" s="168">
        <v>3.691589650153744E-2</v>
      </c>
      <c r="O97" s="168">
        <v>3.6084131961943239E-2</v>
      </c>
      <c r="P97" s="168">
        <v>2.2716203495822644E-2</v>
      </c>
      <c r="Q97" s="168">
        <v>1.9249244104380184E-2</v>
      </c>
      <c r="R97" s="168">
        <v>0.10585488327730196</v>
      </c>
      <c r="S97" s="168">
        <v>5.4283926850216553E-2</v>
      </c>
      <c r="T97" s="169">
        <v>1.4976357446754988E-2</v>
      </c>
      <c r="U97" s="169">
        <v>5.074913801784265E-2</v>
      </c>
      <c r="V97" s="169">
        <v>4.4534011640454736E-2</v>
      </c>
      <c r="W97" s="169">
        <v>3.6539588738191318E-2</v>
      </c>
      <c r="X97" s="169">
        <v>3.3116143562923417E-2</v>
      </c>
      <c r="Y97" s="169">
        <v>3.1880470354376134E-2</v>
      </c>
      <c r="Z97" s="169">
        <v>3.0937290235913829E-2</v>
      </c>
      <c r="AA97" s="169">
        <v>3.0053197645352261E-2</v>
      </c>
      <c r="AB97" s="169">
        <v>2.93320556065883E-2</v>
      </c>
      <c r="AC97" s="169">
        <v>2.8742068612693739E-2</v>
      </c>
      <c r="AD97" s="170">
        <v>3.5911177665787442E-2</v>
      </c>
      <c r="AE97" s="170">
        <v>3.0188408215458873E-2</v>
      </c>
      <c r="AF97" s="170">
        <v>3.3045830141199106E-2</v>
      </c>
    </row>
    <row r="98" spans="2:32" x14ac:dyDescent="0.3">
      <c r="B98" s="1" t="s">
        <v>57</v>
      </c>
      <c r="C98" s="1" t="s">
        <v>61</v>
      </c>
      <c r="D98" s="1" t="s">
        <v>53</v>
      </c>
      <c r="E98" s="1" t="s">
        <v>28</v>
      </c>
      <c r="F98" s="5" t="str">
        <f t="shared" si="1"/>
        <v>Schools - Regional - &gt;$5 bn</v>
      </c>
      <c r="G98" s="168">
        <v>2.2606828962930578E-2</v>
      </c>
      <c r="H98" s="168">
        <v>2.8493690879967681E-2</v>
      </c>
      <c r="I98" s="168">
        <v>2.2828697005035217E-2</v>
      </c>
      <c r="J98" s="168">
        <v>2.827587973832054E-2</v>
      </c>
      <c r="K98" s="168">
        <v>5.044262761247794E-2</v>
      </c>
      <c r="L98" s="168">
        <v>2.0058938639802404E-2</v>
      </c>
      <c r="M98" s="168">
        <v>3.2659670276282617E-2</v>
      </c>
      <c r="N98" s="168">
        <v>3.691589650153744E-2</v>
      </c>
      <c r="O98" s="168">
        <v>3.6084131961943239E-2</v>
      </c>
      <c r="P98" s="168">
        <v>2.2716203495822644E-2</v>
      </c>
      <c r="Q98" s="168">
        <v>1.9249244104380184E-2</v>
      </c>
      <c r="R98" s="168">
        <v>0.10585488327730196</v>
      </c>
      <c r="S98" s="168">
        <v>5.4283926850216553E-2</v>
      </c>
      <c r="T98" s="169">
        <v>1.4976357446754988E-2</v>
      </c>
      <c r="U98" s="169">
        <v>5.074913801784265E-2</v>
      </c>
      <c r="V98" s="169">
        <v>4.4534011640454736E-2</v>
      </c>
      <c r="W98" s="169">
        <v>3.6539588738191318E-2</v>
      </c>
      <c r="X98" s="169">
        <v>3.3116143562923417E-2</v>
      </c>
      <c r="Y98" s="169">
        <v>3.1880470354376134E-2</v>
      </c>
      <c r="Z98" s="169">
        <v>3.0937290235913829E-2</v>
      </c>
      <c r="AA98" s="169">
        <v>3.0053197645352261E-2</v>
      </c>
      <c r="AB98" s="169">
        <v>2.93320556065883E-2</v>
      </c>
      <c r="AC98" s="169">
        <v>2.8742068612693739E-2</v>
      </c>
      <c r="AD98" s="170">
        <v>3.5911177665787442E-2</v>
      </c>
      <c r="AE98" s="170">
        <v>3.0188408215458873E-2</v>
      </c>
      <c r="AF98" s="170">
        <v>3.3045830141199106E-2</v>
      </c>
    </row>
    <row r="99" spans="2:32" x14ac:dyDescent="0.3">
      <c r="B99" s="1" t="s">
        <v>62</v>
      </c>
      <c r="C99" s="1" t="s">
        <v>63</v>
      </c>
      <c r="D99" s="1" t="s">
        <v>22</v>
      </c>
      <c r="E99" s="1" t="s">
        <v>50</v>
      </c>
      <c r="F99" s="5" t="str">
        <f t="shared" si="1"/>
        <v>Solar - Metro - &lt;$250 mil</v>
      </c>
      <c r="G99" s="168">
        <v>8.836242089621844E-3</v>
      </c>
      <c r="H99" s="168">
        <v>1.8884071772207259E-2</v>
      </c>
      <c r="I99" s="168">
        <v>1.8753886392060732E-2</v>
      </c>
      <c r="J99" s="168">
        <v>1.5358361065502001E-2</v>
      </c>
      <c r="K99" s="168">
        <v>5.1413338970097956E-2</v>
      </c>
      <c r="L99" s="168">
        <v>-6.5780861118013784E-3</v>
      </c>
      <c r="M99" s="168">
        <v>9.1214119358330129E-3</v>
      </c>
      <c r="N99" s="168">
        <v>3.8576433576579902E-2</v>
      </c>
      <c r="O99" s="168">
        <v>2.3169479114818269E-2</v>
      </c>
      <c r="P99" s="168">
        <v>2.2749112778593018E-2</v>
      </c>
      <c r="Q99" s="168">
        <v>-4.9976652386813612E-3</v>
      </c>
      <c r="R99" s="168">
        <v>0.12672331122444178</v>
      </c>
      <c r="S99" s="168">
        <v>6.3953401642902849E-2</v>
      </c>
      <c r="T99" s="169">
        <v>2.3535429499226185E-2</v>
      </c>
      <c r="U99" s="169">
        <v>6.3581969662969959E-2</v>
      </c>
      <c r="V99" s="169">
        <v>3.5216848650687922E-2</v>
      </c>
      <c r="W99" s="169">
        <v>2.9349262313867336E-2</v>
      </c>
      <c r="X99" s="169">
        <v>2.8090398233477143E-2</v>
      </c>
      <c r="Y99" s="169">
        <v>2.7015381623440655E-2</v>
      </c>
      <c r="Z99" s="169">
        <v>2.6059701496233472E-2</v>
      </c>
      <c r="AA99" s="169">
        <v>2.5224384313935401E-2</v>
      </c>
      <c r="AB99" s="169">
        <v>2.4489662331779894E-2</v>
      </c>
      <c r="AC99" s="169">
        <v>2.3835127748721666E-2</v>
      </c>
      <c r="AD99" s="170">
        <v>3.5857101614555464E-2</v>
      </c>
      <c r="AE99" s="170">
        <v>2.532423472829648E-2</v>
      </c>
      <c r="AF99" s="170">
        <v>3.0577212051972058E-2</v>
      </c>
    </row>
    <row r="100" spans="2:32" x14ac:dyDescent="0.3">
      <c r="B100" s="1" t="s">
        <v>62</v>
      </c>
      <c r="C100" s="1" t="s">
        <v>63</v>
      </c>
      <c r="D100" s="1" t="s">
        <v>22</v>
      </c>
      <c r="E100" s="1" t="s">
        <v>51</v>
      </c>
      <c r="F100" s="5" t="str">
        <f t="shared" si="1"/>
        <v>Solar - Metro - $250 mil-$500 mil</v>
      </c>
      <c r="G100" s="168">
        <v>8.836242089621844E-3</v>
      </c>
      <c r="H100" s="168">
        <v>1.8884071772207259E-2</v>
      </c>
      <c r="I100" s="168">
        <v>1.8753886392060732E-2</v>
      </c>
      <c r="J100" s="168">
        <v>1.5358361065502001E-2</v>
      </c>
      <c r="K100" s="168">
        <v>5.1413338970097956E-2</v>
      </c>
      <c r="L100" s="168">
        <v>-6.5780861118013784E-3</v>
      </c>
      <c r="M100" s="168">
        <v>9.1214119358330129E-3</v>
      </c>
      <c r="N100" s="168">
        <v>3.8576433576579902E-2</v>
      </c>
      <c r="O100" s="168">
        <v>2.3169479114818269E-2</v>
      </c>
      <c r="P100" s="168">
        <v>2.2749112778593018E-2</v>
      </c>
      <c r="Q100" s="168">
        <v>-4.9976652386813612E-3</v>
      </c>
      <c r="R100" s="168">
        <v>0.12672331122444178</v>
      </c>
      <c r="S100" s="168">
        <v>6.3953401642902849E-2</v>
      </c>
      <c r="T100" s="169">
        <v>2.3535429499226185E-2</v>
      </c>
      <c r="U100" s="169">
        <v>6.3581969662969959E-2</v>
      </c>
      <c r="V100" s="169">
        <v>3.5216848650687922E-2</v>
      </c>
      <c r="W100" s="169">
        <v>2.9349262313867336E-2</v>
      </c>
      <c r="X100" s="169">
        <v>2.8090398233477143E-2</v>
      </c>
      <c r="Y100" s="169">
        <v>2.7015381623440655E-2</v>
      </c>
      <c r="Z100" s="169">
        <v>2.6059701496233472E-2</v>
      </c>
      <c r="AA100" s="169">
        <v>2.5224384313935401E-2</v>
      </c>
      <c r="AB100" s="169">
        <v>2.4489662331779894E-2</v>
      </c>
      <c r="AC100" s="169">
        <v>2.3835127748721666E-2</v>
      </c>
      <c r="AD100" s="170">
        <v>3.5857101614555464E-2</v>
      </c>
      <c r="AE100" s="170">
        <v>2.532423472829648E-2</v>
      </c>
      <c r="AF100" s="170">
        <v>3.0577212051972058E-2</v>
      </c>
    </row>
    <row r="101" spans="2:32" x14ac:dyDescent="0.3">
      <c r="B101" s="1" t="s">
        <v>62</v>
      </c>
      <c r="C101" s="1" t="s">
        <v>63</v>
      </c>
      <c r="D101" s="1" t="s">
        <v>22</v>
      </c>
      <c r="E101" s="1" t="s">
        <v>23</v>
      </c>
      <c r="F101" s="5" t="str">
        <f t="shared" si="1"/>
        <v>Solar - Metro - $500 mil-$1 bn</v>
      </c>
      <c r="G101" s="168">
        <v>0</v>
      </c>
      <c r="H101" s="168">
        <v>0</v>
      </c>
      <c r="I101" s="168">
        <v>0</v>
      </c>
      <c r="J101" s="168">
        <v>0</v>
      </c>
      <c r="K101" s="168">
        <v>0</v>
      </c>
      <c r="L101" s="168">
        <v>0</v>
      </c>
      <c r="M101" s="168">
        <v>0</v>
      </c>
      <c r="N101" s="168">
        <v>0</v>
      </c>
      <c r="O101" s="168">
        <v>0</v>
      </c>
      <c r="P101" s="168">
        <v>0</v>
      </c>
      <c r="Q101" s="168">
        <v>0</v>
      </c>
      <c r="R101" s="168">
        <v>0</v>
      </c>
      <c r="S101" s="168">
        <v>0</v>
      </c>
      <c r="T101" s="169">
        <v>0</v>
      </c>
      <c r="U101" s="169">
        <v>0</v>
      </c>
      <c r="V101" s="169">
        <v>0</v>
      </c>
      <c r="W101" s="169">
        <v>0</v>
      </c>
      <c r="X101" s="169">
        <v>0</v>
      </c>
      <c r="Y101" s="169">
        <v>0</v>
      </c>
      <c r="Z101" s="169">
        <v>0</v>
      </c>
      <c r="AA101" s="169">
        <v>0</v>
      </c>
      <c r="AB101" s="169">
        <v>0</v>
      </c>
      <c r="AC101" s="169">
        <v>0</v>
      </c>
      <c r="AD101" s="170">
        <v>0</v>
      </c>
      <c r="AE101" s="170">
        <v>0</v>
      </c>
      <c r="AF101" s="170">
        <v>0</v>
      </c>
    </row>
    <row r="102" spans="2:32" x14ac:dyDescent="0.3">
      <c r="B102" s="1" t="s">
        <v>62</v>
      </c>
      <c r="C102" s="1" t="s">
        <v>63</v>
      </c>
      <c r="D102" s="1" t="s">
        <v>22</v>
      </c>
      <c r="E102" s="1" t="s">
        <v>52</v>
      </c>
      <c r="F102" s="5" t="str">
        <f t="shared" si="1"/>
        <v>Solar - Metro - $1 bn-$5 bn</v>
      </c>
      <c r="G102" s="168">
        <v>0</v>
      </c>
      <c r="H102" s="168">
        <v>0</v>
      </c>
      <c r="I102" s="168">
        <v>0</v>
      </c>
      <c r="J102" s="168">
        <v>0</v>
      </c>
      <c r="K102" s="168">
        <v>0</v>
      </c>
      <c r="L102" s="168">
        <v>0</v>
      </c>
      <c r="M102" s="168">
        <v>0</v>
      </c>
      <c r="N102" s="168">
        <v>0</v>
      </c>
      <c r="O102" s="168">
        <v>0</v>
      </c>
      <c r="P102" s="168">
        <v>0</v>
      </c>
      <c r="Q102" s="168">
        <v>0</v>
      </c>
      <c r="R102" s="168">
        <v>0</v>
      </c>
      <c r="S102" s="168">
        <v>0</v>
      </c>
      <c r="T102" s="169">
        <v>0</v>
      </c>
      <c r="U102" s="169">
        <v>0</v>
      </c>
      <c r="V102" s="169">
        <v>0</v>
      </c>
      <c r="W102" s="169">
        <v>0</v>
      </c>
      <c r="X102" s="169">
        <v>0</v>
      </c>
      <c r="Y102" s="169">
        <v>0</v>
      </c>
      <c r="Z102" s="169">
        <v>0</v>
      </c>
      <c r="AA102" s="169">
        <v>0</v>
      </c>
      <c r="AB102" s="169">
        <v>0</v>
      </c>
      <c r="AC102" s="169">
        <v>0</v>
      </c>
      <c r="AD102" s="170">
        <v>0</v>
      </c>
      <c r="AE102" s="170">
        <v>0</v>
      </c>
      <c r="AF102" s="170">
        <v>0</v>
      </c>
    </row>
    <row r="103" spans="2:32" x14ac:dyDescent="0.3">
      <c r="B103" s="1" t="s">
        <v>62</v>
      </c>
      <c r="C103" s="1" t="s">
        <v>63</v>
      </c>
      <c r="D103" s="1" t="s">
        <v>22</v>
      </c>
      <c r="E103" s="1" t="s">
        <v>28</v>
      </c>
      <c r="F103" s="5" t="str">
        <f t="shared" si="1"/>
        <v>Solar - Metro - &gt;$5 bn</v>
      </c>
      <c r="G103" s="168">
        <v>0</v>
      </c>
      <c r="H103" s="168">
        <v>0</v>
      </c>
      <c r="I103" s="168">
        <v>0</v>
      </c>
      <c r="J103" s="168">
        <v>0</v>
      </c>
      <c r="K103" s="168">
        <v>0</v>
      </c>
      <c r="L103" s="168">
        <v>0</v>
      </c>
      <c r="M103" s="168">
        <v>0</v>
      </c>
      <c r="N103" s="168">
        <v>0</v>
      </c>
      <c r="O103" s="168">
        <v>0</v>
      </c>
      <c r="P103" s="168">
        <v>0</v>
      </c>
      <c r="Q103" s="168">
        <v>0</v>
      </c>
      <c r="R103" s="168">
        <v>0</v>
      </c>
      <c r="S103" s="168">
        <v>0</v>
      </c>
      <c r="T103" s="169">
        <v>0</v>
      </c>
      <c r="U103" s="169">
        <v>0</v>
      </c>
      <c r="V103" s="169">
        <v>0</v>
      </c>
      <c r="W103" s="169">
        <v>0</v>
      </c>
      <c r="X103" s="169">
        <v>0</v>
      </c>
      <c r="Y103" s="169">
        <v>0</v>
      </c>
      <c r="Z103" s="169">
        <v>0</v>
      </c>
      <c r="AA103" s="169">
        <v>0</v>
      </c>
      <c r="AB103" s="169">
        <v>0</v>
      </c>
      <c r="AC103" s="169">
        <v>0</v>
      </c>
      <c r="AD103" s="170">
        <v>0</v>
      </c>
      <c r="AE103" s="170">
        <v>0</v>
      </c>
      <c r="AF103" s="170">
        <v>0</v>
      </c>
    </row>
    <row r="104" spans="2:32" x14ac:dyDescent="0.3">
      <c r="B104" s="1" t="s">
        <v>62</v>
      </c>
      <c r="C104" s="1" t="s">
        <v>63</v>
      </c>
      <c r="D104" s="1" t="s">
        <v>53</v>
      </c>
      <c r="E104" s="1" t="s">
        <v>50</v>
      </c>
      <c r="F104" s="5" t="str">
        <f t="shared" si="1"/>
        <v>Solar - Regional - &lt;$250 mil</v>
      </c>
      <c r="G104" s="168">
        <v>8.836242089621844E-3</v>
      </c>
      <c r="H104" s="168">
        <v>1.8884071772207259E-2</v>
      </c>
      <c r="I104" s="168">
        <v>1.8753886392060732E-2</v>
      </c>
      <c r="J104" s="168">
        <v>1.5358361065502001E-2</v>
      </c>
      <c r="K104" s="168">
        <v>5.1413338970097956E-2</v>
      </c>
      <c r="L104" s="168">
        <v>-6.5780861118013784E-3</v>
      </c>
      <c r="M104" s="168">
        <v>9.1214119358330129E-3</v>
      </c>
      <c r="N104" s="168">
        <v>3.8576433576579902E-2</v>
      </c>
      <c r="O104" s="168">
        <v>2.3169479114818269E-2</v>
      </c>
      <c r="P104" s="168">
        <v>2.2749112778593018E-2</v>
      </c>
      <c r="Q104" s="168">
        <v>-4.9976652386813612E-3</v>
      </c>
      <c r="R104" s="168">
        <v>0.12672331122444178</v>
      </c>
      <c r="S104" s="168">
        <v>6.3953401642902849E-2</v>
      </c>
      <c r="T104" s="169">
        <v>2.3535429499226185E-2</v>
      </c>
      <c r="U104" s="169">
        <v>6.3581969662969959E-2</v>
      </c>
      <c r="V104" s="169">
        <v>3.5216848650687922E-2</v>
      </c>
      <c r="W104" s="169">
        <v>2.9349262313867336E-2</v>
      </c>
      <c r="X104" s="169">
        <v>2.8090398233477143E-2</v>
      </c>
      <c r="Y104" s="169">
        <v>2.7015381623440655E-2</v>
      </c>
      <c r="Z104" s="169">
        <v>2.6059701496233472E-2</v>
      </c>
      <c r="AA104" s="169">
        <v>2.5224384313935401E-2</v>
      </c>
      <c r="AB104" s="169">
        <v>2.4489662331779894E-2</v>
      </c>
      <c r="AC104" s="169">
        <v>2.3835127748721666E-2</v>
      </c>
      <c r="AD104" s="170">
        <v>3.5857101614555464E-2</v>
      </c>
      <c r="AE104" s="170">
        <v>2.532423472829648E-2</v>
      </c>
      <c r="AF104" s="170">
        <v>3.0577212051972058E-2</v>
      </c>
    </row>
    <row r="105" spans="2:32" x14ac:dyDescent="0.3">
      <c r="B105" s="1" t="s">
        <v>62</v>
      </c>
      <c r="C105" s="1" t="s">
        <v>63</v>
      </c>
      <c r="D105" s="1" t="s">
        <v>53</v>
      </c>
      <c r="E105" s="1" t="s">
        <v>51</v>
      </c>
      <c r="F105" s="5" t="str">
        <f t="shared" si="1"/>
        <v>Solar - Regional - $250 mil-$500 mil</v>
      </c>
      <c r="G105" s="168">
        <v>8.836242089621844E-3</v>
      </c>
      <c r="H105" s="168">
        <v>1.8884071772207259E-2</v>
      </c>
      <c r="I105" s="168">
        <v>1.8753886392060732E-2</v>
      </c>
      <c r="J105" s="168">
        <v>1.5358361065502001E-2</v>
      </c>
      <c r="K105" s="168">
        <v>5.1413338970097956E-2</v>
      </c>
      <c r="L105" s="168">
        <v>-6.5780861118013784E-3</v>
      </c>
      <c r="M105" s="168">
        <v>9.1214119358330129E-3</v>
      </c>
      <c r="N105" s="168">
        <v>3.8576433576579902E-2</v>
      </c>
      <c r="O105" s="168">
        <v>2.3169479114818269E-2</v>
      </c>
      <c r="P105" s="168">
        <v>2.2749112778593018E-2</v>
      </c>
      <c r="Q105" s="168">
        <v>-4.9976652386813612E-3</v>
      </c>
      <c r="R105" s="168">
        <v>0.12672331122444178</v>
      </c>
      <c r="S105" s="168">
        <v>6.3953401642902849E-2</v>
      </c>
      <c r="T105" s="169">
        <v>2.3535429499226185E-2</v>
      </c>
      <c r="U105" s="169">
        <v>6.3581969662969959E-2</v>
      </c>
      <c r="V105" s="169">
        <v>3.5216848650687922E-2</v>
      </c>
      <c r="W105" s="169">
        <v>2.9349262313867336E-2</v>
      </c>
      <c r="X105" s="169">
        <v>2.8090398233477143E-2</v>
      </c>
      <c r="Y105" s="169">
        <v>2.7015381623440655E-2</v>
      </c>
      <c r="Z105" s="169">
        <v>2.6059701496233472E-2</v>
      </c>
      <c r="AA105" s="169">
        <v>2.5224384313935401E-2</v>
      </c>
      <c r="AB105" s="169">
        <v>2.4489662331779894E-2</v>
      </c>
      <c r="AC105" s="169">
        <v>2.3835127748721666E-2</v>
      </c>
      <c r="AD105" s="170">
        <v>3.5857101614555464E-2</v>
      </c>
      <c r="AE105" s="170">
        <v>2.532423472829648E-2</v>
      </c>
      <c r="AF105" s="170">
        <v>3.0577212051972058E-2</v>
      </c>
    </row>
    <row r="106" spans="2:32" x14ac:dyDescent="0.3">
      <c r="B106" s="1" t="s">
        <v>62</v>
      </c>
      <c r="C106" s="1" t="s">
        <v>63</v>
      </c>
      <c r="D106" s="1" t="s">
        <v>53</v>
      </c>
      <c r="E106" s="1" t="s">
        <v>23</v>
      </c>
      <c r="F106" s="5" t="str">
        <f t="shared" si="1"/>
        <v>Solar - Regional - $500 mil-$1 bn</v>
      </c>
      <c r="G106" s="168">
        <v>0</v>
      </c>
      <c r="H106" s="168">
        <v>0</v>
      </c>
      <c r="I106" s="168">
        <v>0</v>
      </c>
      <c r="J106" s="168">
        <v>0</v>
      </c>
      <c r="K106" s="168">
        <v>0</v>
      </c>
      <c r="L106" s="168">
        <v>0</v>
      </c>
      <c r="M106" s="168">
        <v>0</v>
      </c>
      <c r="N106" s="168">
        <v>0</v>
      </c>
      <c r="O106" s="168">
        <v>0</v>
      </c>
      <c r="P106" s="168">
        <v>0</v>
      </c>
      <c r="Q106" s="168">
        <v>0</v>
      </c>
      <c r="R106" s="168">
        <v>0</v>
      </c>
      <c r="S106" s="168">
        <v>0</v>
      </c>
      <c r="T106" s="169">
        <v>0</v>
      </c>
      <c r="U106" s="169">
        <v>0</v>
      </c>
      <c r="V106" s="169">
        <v>0</v>
      </c>
      <c r="W106" s="169">
        <v>0</v>
      </c>
      <c r="X106" s="169">
        <v>0</v>
      </c>
      <c r="Y106" s="169">
        <v>0</v>
      </c>
      <c r="Z106" s="169">
        <v>0</v>
      </c>
      <c r="AA106" s="169">
        <v>0</v>
      </c>
      <c r="AB106" s="169">
        <v>0</v>
      </c>
      <c r="AC106" s="169">
        <v>0</v>
      </c>
      <c r="AD106" s="170">
        <v>0</v>
      </c>
      <c r="AE106" s="170">
        <v>0</v>
      </c>
      <c r="AF106" s="170">
        <v>0</v>
      </c>
    </row>
    <row r="107" spans="2:32" x14ac:dyDescent="0.3">
      <c r="B107" s="1" t="s">
        <v>62</v>
      </c>
      <c r="C107" s="1" t="s">
        <v>63</v>
      </c>
      <c r="D107" s="1" t="s">
        <v>53</v>
      </c>
      <c r="E107" s="1" t="s">
        <v>52</v>
      </c>
      <c r="F107" s="5" t="str">
        <f t="shared" si="1"/>
        <v>Solar - Regional - $1 bn-$5 bn</v>
      </c>
      <c r="G107" s="168">
        <v>0</v>
      </c>
      <c r="H107" s="168">
        <v>0</v>
      </c>
      <c r="I107" s="168">
        <v>0</v>
      </c>
      <c r="J107" s="168">
        <v>0</v>
      </c>
      <c r="K107" s="168">
        <v>0</v>
      </c>
      <c r="L107" s="168">
        <v>0</v>
      </c>
      <c r="M107" s="168">
        <v>0</v>
      </c>
      <c r="N107" s="168">
        <v>0</v>
      </c>
      <c r="O107" s="168">
        <v>0</v>
      </c>
      <c r="P107" s="168">
        <v>0</v>
      </c>
      <c r="Q107" s="168">
        <v>0</v>
      </c>
      <c r="R107" s="168">
        <v>0</v>
      </c>
      <c r="S107" s="168">
        <v>0</v>
      </c>
      <c r="T107" s="169">
        <v>0</v>
      </c>
      <c r="U107" s="169">
        <v>0</v>
      </c>
      <c r="V107" s="169">
        <v>0</v>
      </c>
      <c r="W107" s="169">
        <v>0</v>
      </c>
      <c r="X107" s="169">
        <v>0</v>
      </c>
      <c r="Y107" s="169">
        <v>0</v>
      </c>
      <c r="Z107" s="169">
        <v>0</v>
      </c>
      <c r="AA107" s="169">
        <v>0</v>
      </c>
      <c r="AB107" s="169">
        <v>0</v>
      </c>
      <c r="AC107" s="169">
        <v>0</v>
      </c>
      <c r="AD107" s="170">
        <v>0</v>
      </c>
      <c r="AE107" s="170">
        <v>0</v>
      </c>
      <c r="AF107" s="170">
        <v>0</v>
      </c>
    </row>
    <row r="108" spans="2:32" x14ac:dyDescent="0.3">
      <c r="B108" s="1" t="s">
        <v>62</v>
      </c>
      <c r="C108" s="1" t="s">
        <v>63</v>
      </c>
      <c r="D108" s="1" t="s">
        <v>53</v>
      </c>
      <c r="E108" s="1" t="s">
        <v>28</v>
      </c>
      <c r="F108" s="5" t="str">
        <f t="shared" si="1"/>
        <v>Solar - Regional - &gt;$5 bn</v>
      </c>
      <c r="G108" s="168">
        <v>0</v>
      </c>
      <c r="H108" s="168">
        <v>0</v>
      </c>
      <c r="I108" s="168">
        <v>0</v>
      </c>
      <c r="J108" s="168">
        <v>0</v>
      </c>
      <c r="K108" s="168">
        <v>0</v>
      </c>
      <c r="L108" s="168">
        <v>0</v>
      </c>
      <c r="M108" s="168">
        <v>0</v>
      </c>
      <c r="N108" s="168">
        <v>0</v>
      </c>
      <c r="O108" s="168">
        <v>0</v>
      </c>
      <c r="P108" s="168">
        <v>0</v>
      </c>
      <c r="Q108" s="168">
        <v>0</v>
      </c>
      <c r="R108" s="168">
        <v>0</v>
      </c>
      <c r="S108" s="168">
        <v>0</v>
      </c>
      <c r="T108" s="169">
        <v>0</v>
      </c>
      <c r="U108" s="169">
        <v>0</v>
      </c>
      <c r="V108" s="169">
        <v>0</v>
      </c>
      <c r="W108" s="169">
        <v>0</v>
      </c>
      <c r="X108" s="169">
        <v>0</v>
      </c>
      <c r="Y108" s="169">
        <v>0</v>
      </c>
      <c r="Z108" s="169">
        <v>0</v>
      </c>
      <c r="AA108" s="169">
        <v>0</v>
      </c>
      <c r="AB108" s="169">
        <v>0</v>
      </c>
      <c r="AC108" s="169">
        <v>0</v>
      </c>
      <c r="AD108" s="170">
        <v>0</v>
      </c>
      <c r="AE108" s="170">
        <v>0</v>
      </c>
      <c r="AF108" s="170">
        <v>0</v>
      </c>
    </row>
  </sheetData>
  <mergeCells count="1">
    <mergeCell ref="AD7:AF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4C838C6836BC4F889909807A521D51" ma:contentTypeVersion="10" ma:contentTypeDescription="Create a new document." ma:contentTypeScope="" ma:versionID="f9f316db889a8114671e4d95644ac7c9">
  <xsd:schema xmlns:xsd="http://www.w3.org/2001/XMLSchema" xmlns:xs="http://www.w3.org/2001/XMLSchema" xmlns:p="http://schemas.microsoft.com/office/2006/metadata/properties" xmlns:ns2="01c0f5ca-0b3f-49b6-b59f-6d657e44a718" xmlns:ns3="612ed4d1-c1c5-4dd8-b1b4-2ca9ac75df49" targetNamespace="http://schemas.microsoft.com/office/2006/metadata/properties" ma:root="true" ma:fieldsID="f79424bc9a1bf7305beac829ddb39d8b" ns2:_="" ns3:_="">
    <xsd:import namespace="01c0f5ca-0b3f-49b6-b59f-6d657e44a718"/>
    <xsd:import namespace="612ed4d1-c1c5-4dd8-b1b4-2ca9ac75df4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2:SharedWithUsers" minOccurs="0"/>
                <xsd:element ref="ns2:SharedWithDetails" minOccurs="0"/>
                <xsd:element ref="ns3:Worktask" minOccurs="0"/>
                <xsd:element ref="ns3:MediaServiceObjectDetectorVersions" minOccurs="0"/>
                <xsd:element ref="ns3:MediaServiceSearchProperties" minOccurs="0"/>
                <xsd:element ref="ns3:CM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c0f5ca-0b3f-49b6-b59f-6d657e44a71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2ed4d1-c1c5-4dd8-b1b4-2ca9ac75df4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Worktask" ma:index="17" nillable="true" ma:displayName="Work task" ma:format="Dropdown" ma:internalName="Worktask">
      <xsd:simpleType>
        <xsd:restriction base="dms:Choice">
          <xsd:enumeration value="TPO Requests"/>
          <xsd:enumeration value="PAEC"/>
          <xsd:enumeration value="FOI"/>
          <xsd:enumeration value="Corporat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CMNumber" ma:index="20" nillable="true" ma:displayName="CM Number" ma:format="Dropdown" ma:internalName="CM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orktask xmlns="612ed4d1-c1c5-4dd8-b1b4-2ca9ac75df49" xsi:nil="true"/>
    <CMNumber xmlns="612ed4d1-c1c5-4dd8-b1b4-2ca9ac75df49" xsi:nil="true"/>
    <_dlc_DocId xmlns="01c0f5ca-0b3f-49b6-b59f-6d657e44a718">RY7JXCH3M54P-1794690801-1788</_dlc_DocId>
    <_dlc_DocIdUrl xmlns="01c0f5ca-0b3f-49b6-b59f-6d657e44a718">
      <Url>https://vicgov.sharepoint.com/sites/DTFPortfolioAnalysis/_layouts/15/DocIdRedir.aspx?ID=RY7JXCH3M54P-1794690801-1788</Url>
      <Description>RY7JXCH3M54P-1794690801-1788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EA9FB31-6A86-49D5-AC96-FB3CA2F28AAD}"/>
</file>

<file path=customXml/itemProps2.xml><?xml version="1.0" encoding="utf-8"?>
<ds:datastoreItem xmlns:ds="http://schemas.openxmlformats.org/officeDocument/2006/customXml" ds:itemID="{4AF64119-1B9B-4CCC-BDA5-4774E5EBEDF0}">
  <ds:schemaRefs>
    <ds:schemaRef ds:uri="http://purl.org/dc/terms/"/>
    <ds:schemaRef ds:uri="http://schemas.openxmlformats.org/package/2006/metadata/core-properties"/>
    <ds:schemaRef ds:uri="http://purl.org/dc/dcmitype/"/>
    <ds:schemaRef ds:uri="612ed4d1-c1c5-4dd8-b1b4-2ca9ac75df49"/>
    <ds:schemaRef ds:uri="http://purl.org/dc/elements/1.1/"/>
    <ds:schemaRef ds:uri="http://schemas.microsoft.com/office/2006/metadata/properties"/>
    <ds:schemaRef ds:uri="http://schemas.microsoft.com/office/2006/documentManagement/types"/>
    <ds:schemaRef ds:uri="01c0f5ca-0b3f-49b6-b59f-6d657e44a718"/>
    <ds:schemaRef ds:uri="http://schemas.microsoft.com/office/infopath/2007/PartnerControls"/>
    <ds:schemaRef ds:uri="http://www.w3.org/XML/1998/namespace"/>
    <ds:schemaRef ds:uri="63d9aa07-cafb-46b5-a598-54bfe9f1bbdc"/>
    <ds:schemaRef ds:uri="fe3e64cb-008d-4b29-9140-020f80d0f4e5"/>
  </ds:schemaRefs>
</ds:datastoreItem>
</file>

<file path=customXml/itemProps3.xml><?xml version="1.0" encoding="utf-8"?>
<ds:datastoreItem xmlns:ds="http://schemas.openxmlformats.org/officeDocument/2006/customXml" ds:itemID="{49809C86-10F5-4784-B6F0-2CE79B336B51}">
  <ds:schemaRefs>
    <ds:schemaRef ds:uri="http://schemas.microsoft.com/sharepoint/v3/contenttype/forms"/>
  </ds:schemaRefs>
</ds:datastoreItem>
</file>

<file path=customXml/itemProps4.xml><?xml version="1.0" encoding="utf-8"?>
<ds:datastoreItem xmlns:ds="http://schemas.openxmlformats.org/officeDocument/2006/customXml" ds:itemID="{DD596047-1399-4643-A392-B42DCE273C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Template Guidance</vt:lpstr>
      <vt:lpstr>Escalation Template</vt:lpstr>
      <vt:lpstr>Lists</vt:lpstr>
      <vt:lpstr>Years</vt:lpstr>
      <vt:lpstr>Underlying Data &gt;&gt;</vt:lpstr>
      <vt:lpstr>L75 forecasts</vt:lpstr>
      <vt:lpstr>Recommended scenario forecasts</vt:lpstr>
      <vt:lpstr>U75 forecasts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T Tarrant (DTF)</dc:creator>
  <cp:keywords/>
  <dc:description/>
  <cp:lastModifiedBy>Jamie Jacob (DTF)</cp:lastModifiedBy>
  <cp:revision/>
  <dcterms:created xsi:type="dcterms:W3CDTF">2023-09-05T04:42:29Z</dcterms:created>
  <dcterms:modified xsi:type="dcterms:W3CDTF">2024-09-10T06:37:11Z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22cff-4d41-44a1-a7ea-af857521bf50_Enabled">
    <vt:lpwstr>true</vt:lpwstr>
  </property>
  <property fmtid="{D5CDD505-2E9C-101B-9397-08002B2CF9AE}" pid="3" name="MSIP_Label_17d22cff-4d41-44a1-a7ea-af857521bf50_SetDate">
    <vt:lpwstr>2023-09-19T00:12:56Z</vt:lpwstr>
  </property>
  <property fmtid="{D5CDD505-2E9C-101B-9397-08002B2CF9AE}" pid="4" name="MSIP_Label_17d22cff-4d41-44a1-a7ea-af857521bf50_Method">
    <vt:lpwstr>Privileged</vt:lpwstr>
  </property>
  <property fmtid="{D5CDD505-2E9C-101B-9397-08002B2CF9AE}" pid="5" name="MSIP_Label_17d22cff-4d41-44a1-a7ea-af857521bf50_Name">
    <vt:lpwstr>17d22cff-4d41-44a1-a7ea-af857521bf50</vt:lpwstr>
  </property>
  <property fmtid="{D5CDD505-2E9C-101B-9397-08002B2CF9AE}" pid="6" name="MSIP_Label_17d22cff-4d41-44a1-a7ea-af857521bf50_SiteId">
    <vt:lpwstr>722ea0be-3e1c-4b11-ad6f-9401d6856e24</vt:lpwstr>
  </property>
  <property fmtid="{D5CDD505-2E9C-101B-9397-08002B2CF9AE}" pid="7" name="MSIP_Label_17d22cff-4d41-44a1-a7ea-af857521bf50_ActionId">
    <vt:lpwstr>fa65114d-f752-4a65-b16e-26fbbcea1ee0</vt:lpwstr>
  </property>
  <property fmtid="{D5CDD505-2E9C-101B-9397-08002B2CF9AE}" pid="8" name="MSIP_Label_17d22cff-4d41-44a1-a7ea-af857521bf50_ContentBits">
    <vt:lpwstr>2</vt:lpwstr>
  </property>
  <property fmtid="{D5CDD505-2E9C-101B-9397-08002B2CF9AE}" pid="9" name="ContentTypeId">
    <vt:lpwstr>0x010100554C838C6836BC4F889909807A521D51</vt:lpwstr>
  </property>
  <property fmtid="{D5CDD505-2E9C-101B-9397-08002B2CF9AE}" pid="10" name="_dlc_DocIdItemGuid">
    <vt:lpwstr>3fa48191-7022-47b0-9225-56d1419c0751</vt:lpwstr>
  </property>
  <property fmtid="{D5CDD505-2E9C-101B-9397-08002B2CF9AE}" pid="11" name="MediaServiceImageTags">
    <vt:lpwstr/>
  </property>
</Properties>
</file>